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<sst xmlns="http://schemas.openxmlformats.org/spreadsheetml/2006/main" count="1767" uniqueCount="1763">
  <si>
    <t xml:space="preserve">RECEPTOR ASSAY PROGESTERONE             </t>
  </si>
  <si>
    <t>ALLERGEN SPEC IGG QUANT/SEMIQUANT,EACH A</t>
  </si>
  <si>
    <t xml:space="preserve">ORGANIC ACIDS;QUALITATIVE EACH SPECIMEN </t>
  </si>
  <si>
    <t xml:space="preserve">CARDIAC SHUNT DETECTION                 </t>
  </si>
  <si>
    <t>IA-NUC AC;MYCOPLASMA PNEUMONIAE,DIR PROB</t>
  </si>
  <si>
    <t>ANTIBODY; HERPES SIMPL,NON SPEC TYPE TES</t>
  </si>
  <si>
    <t xml:space="preserve">PRETREAT RBC'S INCUBATE W ENZYMES EACH  </t>
  </si>
  <si>
    <t>DECALCIFICATION PROC(LIST SEPAR SURG PRO</t>
  </si>
  <si>
    <t xml:space="preserve">MR ANGIOGRAPHY,HEAD;W/O&amp;W/CONTR MATER'L </t>
  </si>
  <si>
    <t>CLOTTING INHIBITORS ANTICOAG PROT S FREE</t>
  </si>
  <si>
    <t xml:space="preserve">PHOSPHATASE, ACID; FORENSIC EXAMINATION </t>
  </si>
  <si>
    <t xml:space="preserve">MYOCAR PERFUS STUDY-WALL MOT QUAL-QUAN  </t>
  </si>
  <si>
    <t>URINE PREGNANCY TST/VISUAL COLOR COMPARI</t>
  </si>
  <si>
    <t xml:space="preserve">HYSTEROSONGRAPHY W-W/O COLOR FLO DOPPLE </t>
  </si>
  <si>
    <t xml:space="preserve">ANTIBODY ID PLATELET ASSOC IMMUNO ASSAY </t>
  </si>
  <si>
    <t xml:space="preserve">BRAIN IMAGING, MINIMUM 4 STATIC VIEWS   </t>
  </si>
  <si>
    <t xml:space="preserve">TISSUE CULT CHROSOME ANALYS BONE MARROW </t>
  </si>
  <si>
    <t>PATH CONSULT IN SURG;CYTOLOGIC EXAM, ADD</t>
  </si>
  <si>
    <t xml:space="preserve">AMIKACIN                                </t>
  </si>
  <si>
    <t>ANGIO CAROTID CEREB UNILAT SUPFR/INTERPE</t>
  </si>
  <si>
    <t xml:space="preserve">MERCURY, QUANTITATIVE                   </t>
  </si>
  <si>
    <t xml:space="preserve">SUGARS-SINGLE QUALITATIVE EACH SPECIMEN </t>
  </si>
  <si>
    <t xml:space="preserve">ECHOCARDIOGRAPHY FETAL FOLLOW-UP OR REP </t>
  </si>
  <si>
    <t xml:space="preserve">MAMMARY DUCTOGRAM/GALACTOGRAM,MULTIPLE  </t>
  </si>
  <si>
    <t>IN AG-NU A;MYCOBACT TUBERCUL,DIR PRO TEC</t>
  </si>
  <si>
    <t xml:space="preserve">RADIOLOGIC EXAM SPINE CERV;2 OR 3 VEIWS </t>
  </si>
  <si>
    <t>RECEPTOR ASSAY NON-ENDOCRINE(SPECI RECEP</t>
  </si>
  <si>
    <t>INTESTINE IMAGING(EG,ECTOPIC GASTRIC MUS</t>
  </si>
  <si>
    <t>MR ANGIO,UPPER EXTREM,W/ OR W/O CONTR MA</t>
  </si>
  <si>
    <t>CEREBROSPINAL FLUID LEAK DETECT&amp;LOCALIZA</t>
  </si>
  <si>
    <t>CYTOPATHOLOGY SLIDES CER/VAG TBS CMP-AST</t>
  </si>
  <si>
    <t>CYTOPOLOGY SLIDES CER/VAG TBS W/RESCREEN</t>
  </si>
  <si>
    <t xml:space="preserve">DIHYDROTESTERONE DHT                    </t>
  </si>
  <si>
    <t xml:space="preserve">ANDROSTANEDIOL GLUCURONIDE              </t>
  </si>
  <si>
    <t xml:space="preserve">HEMOGLOBIN,QUANT,TRANSCUT,METHEMOGLOBIN </t>
  </si>
  <si>
    <t>BRAIN IMAGING COMPL STUDY TOMOGRA(SPECT)</t>
  </si>
  <si>
    <t xml:space="preserve">LIVER IMAGING STATIC ONLY               </t>
  </si>
  <si>
    <t xml:space="preserve">TRANSCATH BIOPSY SUPER/IN TERP          </t>
  </si>
  <si>
    <t>RADIO EXAM CHEST SPECIAL VIEWS(LAT DECUB</t>
  </si>
  <si>
    <t>GALACTOSE-1-PHOSPHATE URIDYL TRANS QUANT</t>
  </si>
  <si>
    <t xml:space="preserve">LIVER IMAGING (SPECT); W/VASCULAR FLOW  </t>
  </si>
  <si>
    <t xml:space="preserve">RADIO EXAM SCAPULA COMPLETE             </t>
  </si>
  <si>
    <t>RADIO EXAM SPINE SPINE SCOLIO SUPIN/EREC</t>
  </si>
  <si>
    <t xml:space="preserve">FIBRINOGEN; ANTIGEN                     </t>
  </si>
  <si>
    <t>PERC TRANS DILAT BILIARY DUCT STRICT,S&amp;I</t>
  </si>
  <si>
    <t xml:space="preserve">GLUTETHIMIDE                            </t>
  </si>
  <si>
    <t xml:space="preserve">SEX CHROMATIN IDENT PERIPHERAL BLOOD    </t>
  </si>
  <si>
    <t xml:space="preserve">OVA PARASITES DIRECT SMEARS CONC IDENT  </t>
  </si>
  <si>
    <t xml:space="preserve">ANTIBODY; ROTOVIRUS                     </t>
  </si>
  <si>
    <t>OPHTAL BIOMET ULTRA ECHO A-MOD W LENS CA</t>
  </si>
  <si>
    <t>THYROTROPIN RELEASING HORMONE PANEL 1 HR</t>
  </si>
  <si>
    <t xml:space="preserve">SIALIDASE ENZMATIC ASSAY                </t>
  </si>
  <si>
    <t>FETAL SHUNT PLACEMENT,W/ULTRASOUND GUIDA</t>
  </si>
  <si>
    <t>CELL COUNT,MISC BODY FLUIDS,EXCEPT BLOOD</t>
  </si>
  <si>
    <t xml:space="preserve">UROGRAPHY INFUSION DRIP TECHNIQ/BOLUS   </t>
  </si>
  <si>
    <t>ANGIO PULMON NONSELECT CATH/VENO INJ SUP</t>
  </si>
  <si>
    <t>ACETYLCHOLINESTERASESEE 926 932 84060-65</t>
  </si>
  <si>
    <t>INF AG ANTI DET/IMUNOFLU TECH;NOS,EA. OR</t>
  </si>
  <si>
    <t>ANGIO, VISC, SEL OR SUPSEL, W/WO FLSH AO</t>
  </si>
  <si>
    <t>THROMBOPLASTIN TIME PART SUBST PLASMA FR</t>
  </si>
  <si>
    <t>CYANOCOBALAMIN UNSATURATED BINDING CAPAC</t>
  </si>
  <si>
    <t xml:space="preserve">ANTIBODY; HIV-2                         </t>
  </si>
  <si>
    <t xml:space="preserve">BLOOD COUNT; PLATELET, AUTOMATED        </t>
  </si>
  <si>
    <t>INF AG ANTIG DETC/FLOU AB;CRYPTOSP/GIARD</t>
  </si>
  <si>
    <t xml:space="preserve">BRONCHO UNILAT SUPERVIS AND INTERP      </t>
  </si>
  <si>
    <t>RADIO EXAM ORBITS COMPLETE MIN FOUR VIEW</t>
  </si>
  <si>
    <t>CARDIAC BLD IMA GATED EQUILIBRIUM SG STU</t>
  </si>
  <si>
    <t xml:space="preserve">B CELLS, TOTAL COUNT                    </t>
  </si>
  <si>
    <t>I AG-IMUNOASY OPTI OBSV;NEISERA GONORHOE</t>
  </si>
  <si>
    <t xml:space="preserve">ABCESS LOCALIZATION WHOLE BODY          </t>
  </si>
  <si>
    <t xml:space="preserve">THYROGLOBULIN ANTIBODY                  </t>
  </si>
  <si>
    <t>CARDIAC MRI,CON MAT&amp;SEQ;W/FLO/VEL&amp;STRESS</t>
  </si>
  <si>
    <t xml:space="preserve">GASTRIN AFTER SECRETIN STIMULATION      </t>
  </si>
  <si>
    <t>GASES BLOOD W O2 SATURATION DIRECT MEASU</t>
  </si>
  <si>
    <t xml:space="preserve">NASAL SMEAR FOR EOSINOPHILS             </t>
  </si>
  <si>
    <t>TUMOR IMAG,PET;W/CONCUR CT;SKULL/WHL BDY</t>
  </si>
  <si>
    <t>SEX CHROMATIN IDENTIFICATION BARR BODIES</t>
  </si>
  <si>
    <t>CHROMAT,QUALIT;PAPER,2-DIM,ANA NT ELS SP</t>
  </si>
  <si>
    <t xml:space="preserve">IV INFUSION, HYDRATION;EACH ADD'L HOUR  </t>
  </si>
  <si>
    <t xml:space="preserve">BLOOD SMEAR, W/DIFFERENTIAL WBC COUNT   </t>
  </si>
  <si>
    <t>BLD,OCCULT,PEROXIDASE ACTIVTY,QUAL,FECES</t>
  </si>
  <si>
    <t xml:space="preserve">RADIOLOGIC EXAM SPINE THORACIC 3 VEIWS  </t>
  </si>
  <si>
    <t>ULTRASOUND,PG UTERUS &lt;14 WKS, ADDL FETUS</t>
  </si>
  <si>
    <t xml:space="preserve">TRANSFERRIN                             </t>
  </si>
  <si>
    <t xml:space="preserve">CREATINE                                </t>
  </si>
  <si>
    <t xml:space="preserve">THYROID CARCI METAST IMAGE NECK &amp; CHEST </t>
  </si>
  <si>
    <t xml:space="preserve">BLOOD COUNT, MANUAL RETICULOCYTE        </t>
  </si>
  <si>
    <t>MRI,JOINT LOWER EXTREM;W/O CONTRAST MATR</t>
  </si>
  <si>
    <t>MAG RESON IMAG CHEST W/O CONTRACT MATERI</t>
  </si>
  <si>
    <t xml:space="preserve">CHLORIDE; BLOOD                         </t>
  </si>
  <si>
    <t xml:space="preserve">CT,LIMITED OR LOCALIZED FOLLOW-UP STUDY </t>
  </si>
  <si>
    <t xml:space="preserve">ELECTROLYTE PANEL                       </t>
  </si>
  <si>
    <t xml:space="preserve">CLOTTING INHIBITORS, PROTEIN C, ANTIGEN </t>
  </si>
  <si>
    <t>IA-NUC ACDHERPES SIMPLEX VIR,AMP PRO TEC</t>
  </si>
  <si>
    <t>KINETICS,PLATELET SURVIV,W/WO DIFF ORG/T</t>
  </si>
  <si>
    <t>PULMONARY PERFUS IMAG W/VENT REBREA WASH</t>
  </si>
  <si>
    <t>FIBRINOLYSIN/COAGULOPATHY SCREEN,INTERPR</t>
  </si>
  <si>
    <t>MRI,DUR OPN INTRACRAN PROC,W/O CONTR MAT</t>
  </si>
  <si>
    <t>CHROMOSOME ANAL ADDITIONAL CELLS COUNTED</t>
  </si>
  <si>
    <t xml:space="preserve">ANTIBODY; TRICHINELLA                   </t>
  </si>
  <si>
    <t>GASTRIC INTUB ASPIR FRACT COLLECT ONE HR</t>
  </si>
  <si>
    <t>TB TEST, CELL MEDIATED IMMUNITY MEASUREM</t>
  </si>
  <si>
    <t xml:space="preserve">PREGNENOLONE                            </t>
  </si>
  <si>
    <t>IN AG-NU AC;MYCOBACTERIA SPC;AMP PRO TEC</t>
  </si>
  <si>
    <t xml:space="preserve">FLUOROSCOPIC GUIDANCE,NEEDLE PLACEMENT  </t>
  </si>
  <si>
    <t xml:space="preserve">CYTOPATHOLOGY FORENSIC                  </t>
  </si>
  <si>
    <t xml:space="preserve">AMMONIA                                 </t>
  </si>
  <si>
    <t xml:space="preserve">DESIPRAMINE                             </t>
  </si>
  <si>
    <t xml:space="preserve">INF AG ANTI DECT; INFLUENZA B VIRUS     </t>
  </si>
  <si>
    <t>ANGIO RENAL UNI(INC AORTO) SUPERVIS/INTE</t>
  </si>
  <si>
    <t>FIBRIN DEGRAD,D-DIMMER;QUAL/SEMIQUALITIT</t>
  </si>
  <si>
    <t xml:space="preserve">PREGNANETRIOL                           </t>
  </si>
  <si>
    <t>WHOLE BLOOD VOL DRTERMIN PLAS VOL/R CELL</t>
  </si>
  <si>
    <t>ULTRASND,RETROPERITONEAL,B-SCAN,IMAGE DO</t>
  </si>
  <si>
    <t xml:space="preserve">ANTIBODY; CHLAMYDIA, IGM                </t>
  </si>
  <si>
    <t>ANGIO CAROTID CERVI BILAT SUPER/INTERPRE</t>
  </si>
  <si>
    <t>CT ANGI,ABD AORT&amp;BIL ILIO/INC IM POST-PR</t>
  </si>
  <si>
    <t>FIBRINOLYTIC MECHAN PLASMINOGEN ANTIGENI</t>
  </si>
  <si>
    <t>COMPUTER TOMO ORBIT W CONTRAST MATERIALS</t>
  </si>
  <si>
    <t xml:space="preserve">CINE/VIDEO X-RAYS TO COMPLETE ROUTINE   </t>
  </si>
  <si>
    <t xml:space="preserve">CYTOPATHOLOGY SLIDES CER/VAG RE-SCREEN  </t>
  </si>
  <si>
    <t>PULMON VENT IMG GAS SING BREATHE &amp; PROJT</t>
  </si>
  <si>
    <t>ANTIBODY; HELMINTH, NOT ELSEWHERE SPECIF</t>
  </si>
  <si>
    <t>ESOPHAGUS,FUNCTION TST,ACID REFX W/NASAL</t>
  </si>
  <si>
    <t xml:space="preserve">CHOLINESTERASE RBC                      </t>
  </si>
  <si>
    <t xml:space="preserve">MRI, PELVIS; W/O &amp; W/CONTRAST MATERIALS </t>
  </si>
  <si>
    <t>INF AG ANTIG DETC/FLOUR AB; BORD PERT/PA</t>
  </si>
  <si>
    <t xml:space="preserve">OLIGOCLONAL IMMUNE (OLIGOCLONAL BANDS)  </t>
  </si>
  <si>
    <t>CULTURAL, BACTERIAL;QUANT,AEROBIC W/ISOL</t>
  </si>
  <si>
    <t xml:space="preserve">CLOTTING FACTOR X                       </t>
  </si>
  <si>
    <t>RADIO EXAM ABDOMEN ANTERO ADD OBLIQU/CON</t>
  </si>
  <si>
    <t>TRANSCATH THERP, EMBOL, ANY METH SUP&amp;INT</t>
  </si>
  <si>
    <t xml:space="preserve">GENTAMACIN                              </t>
  </si>
  <si>
    <t xml:space="preserve">PH BODY FLD CEPT BLOOD                  </t>
  </si>
  <si>
    <t>SMEAR,PRIM SOURC W/INTERP;WET MOU/INF AG</t>
  </si>
  <si>
    <t xml:space="preserve">ANTIBODY; COCCIDIOIDES                  </t>
  </si>
  <si>
    <t xml:space="preserve">RADIO EXAM HUMERUS MINIMUM TWO VIEWS    </t>
  </si>
  <si>
    <t>MORPHOMETRIC ANAL;TUMOR IMMUNOHISTOCHEMI</t>
  </si>
  <si>
    <t>HEMOGLOBIN/RBCS, FETOMATERNAL HEMORRHAGE</t>
  </si>
  <si>
    <t xml:space="preserve">XYLOSE ABSORP TEST BLOOD AN-OR URINE    </t>
  </si>
  <si>
    <t>CULTURE, BACTERIAL;QUANT,ANAEROBIC W/ISO</t>
  </si>
  <si>
    <t>ULTRASND,PELVC,B-SCAN&amp;/OR IMAGE DOC;COMP</t>
  </si>
  <si>
    <t>GROWTH HORMONE, HUMAN (HGH)(SOMATOTROPIN</t>
  </si>
  <si>
    <t>LIPOPRO,DIR MSRMNT;HGH DNSTY CHLSTR(HDL)</t>
  </si>
  <si>
    <t xml:space="preserve">HEMOGLOBIN METHEMOGLOBIN QUALITATIVE    </t>
  </si>
  <si>
    <t xml:space="preserve">DEHYDROEPIANDROSTERONE (DHEA)           </t>
  </si>
  <si>
    <t xml:space="preserve">ANTIBODY; VARICELLA-ZOSTER              </t>
  </si>
  <si>
    <t xml:space="preserve">UROBILINOGEN URINE SEMIQUANTITATIVE     </t>
  </si>
  <si>
    <t xml:space="preserve">BONE MARROW IMAGING MULTIPLE AREAS      </t>
  </si>
  <si>
    <t>EXC PREV ARTER CATH/THROMB THERP MON S&amp;I</t>
  </si>
  <si>
    <t>IN AG ANTG DET/FLO AB;RESPRTY SYNCYT VIR</t>
  </si>
  <si>
    <t>FETAL LUNG MATURITY ASSES;FLOURES POLARI</t>
  </si>
  <si>
    <t>RADIO EXAM FINGER ORFINGERS MIN TWO VIEW</t>
  </si>
  <si>
    <t>ULTRASON GUID CHORIONIC VILLUS SAMPL S&amp;I</t>
  </si>
  <si>
    <t xml:space="preserve">INFEC AGENT ANTIGEN DETECT;INFLUENZA    </t>
  </si>
  <si>
    <t>CREATINE KINASE(CK)(CPK);MB FRACTION ONL</t>
  </si>
  <si>
    <t xml:space="preserve">ZINC                                    </t>
  </si>
  <si>
    <t xml:space="preserve">ARSENIC                                 </t>
  </si>
  <si>
    <t xml:space="preserve">TUMOR IMAG,PET;W/CT;SKULL/MID-THIGH     </t>
  </si>
  <si>
    <t xml:space="preserve">DIHYDROMORPHINONE                       </t>
  </si>
  <si>
    <t xml:space="preserve">PERCUT PLCMNT OF ENTEROCLY TUBE SUP&amp;INT </t>
  </si>
  <si>
    <t xml:space="preserve">ANTIBODY; HELICOBACTER PYLORI           </t>
  </si>
  <si>
    <t>MYOCAR IMA TOMO MUL STU REST/STR W/WO QN</t>
  </si>
  <si>
    <t>CHROMOSOME ANALY AMNIO OR CHORIO 15 CELL</t>
  </si>
  <si>
    <t xml:space="preserve">C-REACTIVE PROTEIN;HI SENSTVTY(HSCRP)   </t>
  </si>
  <si>
    <t>THERAPEUTC,PROPHY,DX INJ,SUBCUT/INTRAMUC</t>
  </si>
  <si>
    <t xml:space="preserve">TOPIRAMATE                              </t>
  </si>
  <si>
    <t xml:space="preserve">MOLECULAR DIAG ID TRANSCRIPTION SING EA </t>
  </si>
  <si>
    <t xml:space="preserve">CULT PRESUM PATH ORGAN COLONY EST CHART </t>
  </si>
  <si>
    <t>LIPROTEIN,DIRECT MEASURE,LDL CHOLESTEROL</t>
  </si>
  <si>
    <t xml:space="preserve">RAD EXAM,SPINE,THORACOLUMBAR;SCOLIOSIS  </t>
  </si>
  <si>
    <t>RAD EXAM SACROILIAC JNT ARTH,SUPER &amp; INT</t>
  </si>
  <si>
    <t xml:space="preserve">UNLISTED MISCELLANEOUS PROC NUCLEAR MED </t>
  </si>
  <si>
    <t>ANGIO SPINE SELEC SUPERVIS/INTERPRETATIO</t>
  </si>
  <si>
    <t xml:space="preserve">HLA TYPING; DR/DQ, SINGLE ANTIGEN       </t>
  </si>
  <si>
    <t>IAA-ENZYM IMMUNOA...HEP B SUR ANTG(HBSAG</t>
  </si>
  <si>
    <t xml:space="preserve">SKIN TEST; CANDIDA                      </t>
  </si>
  <si>
    <t xml:space="preserve">TROPONIN, QUANTITATIVE                  </t>
  </si>
  <si>
    <t xml:space="preserve">FIBRINOLYTIC MECHAN ALPHA-2 ANTIPLAS    </t>
  </si>
  <si>
    <t xml:space="preserve">HEMOGLOBIN FRAC/QUANT CHROMOTOGRAPHY    </t>
  </si>
  <si>
    <t xml:space="preserve">CT,ABDOMEN; W/O &amp; W/ CONTRAST MATERIAL  </t>
  </si>
  <si>
    <t xml:space="preserve">LIPID PANEL (LIST COMPONENTS ON HIC)    </t>
  </si>
  <si>
    <t>AORTOG THORAC W/O SERI SUPERVIS/INTERPRE</t>
  </si>
  <si>
    <t xml:space="preserve">ULTRASOUND GUIDANCE, VASCULAR ACCESS    </t>
  </si>
  <si>
    <t>CEREBROSPINAL FLD FLO IMG VENTRICULOGRAP</t>
  </si>
  <si>
    <t xml:space="preserve">MRI, BREAST; UNILATERAL                 </t>
  </si>
  <si>
    <t xml:space="preserve">BLOOD TYPING; ABO                       </t>
  </si>
  <si>
    <t xml:space="preserve">HYPERTHERMIA EXT GENERATED DEEP         </t>
  </si>
  <si>
    <t>SERUM BACTERICIDAL TITER(SCHLICTER TEST)</t>
  </si>
  <si>
    <t>KIDNEY FUNCTION STUDY WO PHARMAC INTERVE</t>
  </si>
  <si>
    <t xml:space="preserve">KIDNEY IMAGING, TOMOGRAPHIC (SPECT)     </t>
  </si>
  <si>
    <t xml:space="preserve">UNLISTED CYTOGENETIC STUDY              </t>
  </si>
  <si>
    <t>IAA-ENZY IMUNOA...CRYPTOSPORIDUM/GIARDIA</t>
  </si>
  <si>
    <t>ULTRASND,INFANT HIPS,RT IMAG DOC;DYNAMIC</t>
  </si>
  <si>
    <t>CALCITONIN STIMUL PANEL (EG CALC, PENTAG</t>
  </si>
  <si>
    <t xml:space="preserve">RADIOLOGIC EXAM,KNEE 4 OR MORE VIEWS    </t>
  </si>
  <si>
    <t xml:space="preserve">AMYLASE                                 </t>
  </si>
  <si>
    <t>RADIO EXAM PHARYNX LARYNX INC FLUOROSCOP</t>
  </si>
  <si>
    <t xml:space="preserve">RHEUMATOID FACTOR; QUANTITATIVE         </t>
  </si>
  <si>
    <t xml:space="preserve">ANTINUCLEAR ANTIBODIES (ANA)            </t>
  </si>
  <si>
    <t xml:space="preserve">VASOPRESSIN (ANTIDIURETIC HORMONE ADH)  </t>
  </si>
  <si>
    <t>IMMUNOELECTROPHORESIS;OTH FL(UA,CSF)CONC</t>
  </si>
  <si>
    <t xml:space="preserve">ULTRASOUND,TRANSVAGINAL                 </t>
  </si>
  <si>
    <t xml:space="preserve">BETA-2 MICROGLOBULIN                    </t>
  </si>
  <si>
    <t>ANGIO CERICOCER CATH VESSE/ ORIGIN SUPLI</t>
  </si>
  <si>
    <t xml:space="preserve">GONNADOTROPIN CHORIONIC QUALITIVE       </t>
  </si>
  <si>
    <t>CULT FUNGI ISOLAT OTH SOURCE(EXCPT BLOOD</t>
  </si>
  <si>
    <t xml:space="preserve">THROMBIN TIME TITER                     </t>
  </si>
  <si>
    <t>VITA B12 ABSORB STDY W/O INTRINSIC FACTO</t>
  </si>
  <si>
    <t xml:space="preserve">AMINO ACIDS SINGLE QUALITATIVE EA SPEC  </t>
  </si>
  <si>
    <t>CONSULT COMPRE REV RECORD/SPECI W/REPORT</t>
  </si>
  <si>
    <t>IN AG-NU AC;MYCOBAC TUBERCUL,AMP PRO TEC</t>
  </si>
  <si>
    <t>CLOTTING INHIBITORS ANTITHROMBIN II1 ANT</t>
  </si>
  <si>
    <t xml:space="preserve">MAG RESON IMAG PELVIS;W/CONTRAST MATERI </t>
  </si>
  <si>
    <t>MRI,BRAIN(INCL BRAIN STEM);W/ CONTR MATR</t>
  </si>
  <si>
    <t>STEROSCOP X-RAY/LOCAL TARGT VOL/RAD THER</t>
  </si>
  <si>
    <t xml:space="preserve">THIAMINE VIT B-1                        </t>
  </si>
  <si>
    <t>IA DET-NU AC;CHLAMY PNEUMON,DIR PROB TEC</t>
  </si>
  <si>
    <t xml:space="preserve">ANTIBODY; LEGIONELLA                    </t>
  </si>
  <si>
    <t xml:space="preserve">TOXIN OR ANTITOXIN ASSAY TISSUE CULTURE </t>
  </si>
  <si>
    <t>CYTOPATHY,CONCENTRATION TECH,SMEARS&amp;INTE</t>
  </si>
  <si>
    <t>ULTRASONIC GUID INTERSTITIAL RADIOELEM A</t>
  </si>
  <si>
    <t xml:space="preserve">THYROID STIMULATING HORMONE (TSH)       </t>
  </si>
  <si>
    <t>VENOUS THROMBOSIS IMAG,VENOGRAM;UNILATRL</t>
  </si>
  <si>
    <t>EXTRACT NUCLEAR ANTIGEN,ANTIBOD,ANY METH</t>
  </si>
  <si>
    <t>ECHOGRAPHY,TRANSRECTAL;PROSTATE VOL STUD</t>
  </si>
  <si>
    <t>MAG RESONANCE ANGIO, CHEST W/WO CONTRAST</t>
  </si>
  <si>
    <t xml:space="preserve">CREATININE; BLOOD                       </t>
  </si>
  <si>
    <t xml:space="preserve">GONADOTROPIN RELEASING HORMONE STIM PAN </t>
  </si>
  <si>
    <t xml:space="preserve">ANDRO STERONE                           </t>
  </si>
  <si>
    <t>PROTEIN;ELECTROPHOR FRACTIONATION&amp;QUANTI</t>
  </si>
  <si>
    <t xml:space="preserve">THROMBOMODULIN                          </t>
  </si>
  <si>
    <t xml:space="preserve">CHOLECYSTOGRAPHY ADDIT REPEAT,MULTI DAY </t>
  </si>
  <si>
    <t xml:space="preserve">UROBILINOGEN FECES QUANTITATIVE         </t>
  </si>
  <si>
    <t>IN AGNT-NUCL AC;CYTOMEGALOVIRUS QUANTIFI</t>
  </si>
  <si>
    <t xml:space="preserve">RADIO EXAM SPIN/LUMBOSAC BEND ONY MIN 4 </t>
  </si>
  <si>
    <t xml:space="preserve">BONE MARROW IMAGING LIMITED AREA        </t>
  </si>
  <si>
    <t>FAT STAIN,FECES URIN,RESPIRAT SECRETIONS</t>
  </si>
  <si>
    <t>MYOCAR IMA TOMO SN RS-ST W/WO QUANTIFICA</t>
  </si>
  <si>
    <t xml:space="preserve">CARDIAC MRI FOR MORPHOLOGY AND FUNCTION </t>
  </si>
  <si>
    <t xml:space="preserve">MUCOPOLYSACCHARIDES, ACID; QUANTITATIVE </t>
  </si>
  <si>
    <t xml:space="preserve">PHENYTOIN; FREE                         </t>
  </si>
  <si>
    <t>CHROMAT,QUALIT;THIN LAYER,ANAL NT ELSE S</t>
  </si>
  <si>
    <t xml:space="preserve">BLOOD COUNT, AUTOMATED RETICULOCYTE     </t>
  </si>
  <si>
    <t xml:space="preserve">RADIOLOGIC EXAM,OSSEOUS SURVEY, INFANT  </t>
  </si>
  <si>
    <t xml:space="preserve">LIVER IMAGING (SPECT)                   </t>
  </si>
  <si>
    <t>INSERT PACEMAKER FLUORO/RADIO SUPER/INTE</t>
  </si>
  <si>
    <t>COMPUTED TOMOGRAPH ANGIOGR,CHEST,W/ CONT</t>
  </si>
  <si>
    <t>RADIOLOG EXAM SPINE LUMBOSACRAL 2-3VIEWS</t>
  </si>
  <si>
    <t xml:space="preserve">ORTHOPANTOGRAM                          </t>
  </si>
  <si>
    <t xml:space="preserve">ALKALOIDS, URINE QUANTITIVE             </t>
  </si>
  <si>
    <t>CLOTTING INHIBIT ANTICOAG; PROTEIN S,TOT</t>
  </si>
  <si>
    <t xml:space="preserve">AMITRIPTYLINE                           </t>
  </si>
  <si>
    <t xml:space="preserve">RADIO EXAM ANKLE ARTHRO SUPER/INTERP    </t>
  </si>
  <si>
    <t>BLOOD,OCULT/PEROXIDAS ACTIVTY,QUAL;FECES</t>
  </si>
  <si>
    <t xml:space="preserve">THYROID CARCL METAST OTHER BODY AREAS   </t>
  </si>
  <si>
    <t>PROTEIN ANALYS O TIS IMM PROBE BAND IDEN</t>
  </si>
  <si>
    <t>URIN/DIP STK OR TBLT W/MICRO(SEE CONSTIT</t>
  </si>
  <si>
    <t>COMPUT TOMO SOFT TISS NECK W/O CON MEDIA</t>
  </si>
  <si>
    <t>IMMUNOFLUORESCENT STUDY EACH ANTIBDY DIR</t>
  </si>
  <si>
    <t xml:space="preserve">UNLISTED MUSCULOSKELETAL NUCLEAR MED    </t>
  </si>
  <si>
    <t>ULTRASND,PG UTERUS,LIMITED, 1 OR+FETUSES</t>
  </si>
  <si>
    <t>OPHTHALMIC U-SND,DIAG;B-SCAN/SAME ENCOUN</t>
  </si>
  <si>
    <t>CHOLANGIOGRPH/PANCREATO;RADIOGLO SUP&amp;INT</t>
  </si>
  <si>
    <t>CYTOPATH FLU WAS-BRU EX CER-VAG SM W INT</t>
  </si>
  <si>
    <t xml:space="preserve">MECHANICAL FRAGILITY RBC                </t>
  </si>
  <si>
    <t>CT,HEAD OR BRAIN;W/O&amp;W/CONTRAST MATERIAL</t>
  </si>
  <si>
    <t xml:space="preserve">ANTIBODY; HERPES SIMPLEX, TYPE 2        </t>
  </si>
  <si>
    <t xml:space="preserve">ANTIBODY; NEISSERIA MENINGITIDIS        </t>
  </si>
  <si>
    <t>CHOLANGIOGRAPHY/PANCREATOG; INTRAOPERATI</t>
  </si>
  <si>
    <t xml:space="preserve">ANTIBODY; PLASMODIUM (MALARIA)          </t>
  </si>
  <si>
    <t xml:space="preserve">CRYSTAL ID/LIGHT MICROSCOPY, BODY FLUID </t>
  </si>
  <si>
    <t>GAMMAGLOBULIN; IMMUNOGLOBULIN SUBCLAS,EA</t>
  </si>
  <si>
    <t>PERIPH VEIN RENIN STIM PAN (EG, CAPTOPRI</t>
  </si>
  <si>
    <t>FLUROSCOP(SEPAR PROC)TO 1 HR MD TIME OTH</t>
  </si>
  <si>
    <t xml:space="preserve">HAPTOGLOBIN; QUANTITATIVE               </t>
  </si>
  <si>
    <t xml:space="preserve">GLUCOSE-6-PHOS DEHYDROGENASE SCREEN     </t>
  </si>
  <si>
    <t>MYOCAR IMA INFAR AVID W EJEC FR 1ST PASS</t>
  </si>
  <si>
    <t xml:space="preserve">INTRINSIC FACTOR ANTIBODIES             </t>
  </si>
  <si>
    <t>RADIO EXAM COPLY NOTION BODY SECT NO URO</t>
  </si>
  <si>
    <t>ANTIBODY; EPSTEIN-BARR VIRUS,EARLY ANTIG</t>
  </si>
  <si>
    <t xml:space="preserve">PRIMIDONE                               </t>
  </si>
  <si>
    <t xml:space="preserve">TEMPORMANDIDULAR JOINT ARTHROG S&amp;I      </t>
  </si>
  <si>
    <t xml:space="preserve">RHEUMATOID FACTOR, QUALITATIVE          </t>
  </si>
  <si>
    <t>MAG RESON IMAG,PELVIS;W/O CONTRAST MATER</t>
  </si>
  <si>
    <t xml:space="preserve">RADIO EXAM HIP ARTHRO SUPER/INTERP      </t>
  </si>
  <si>
    <t xml:space="preserve">UROBILINOGEN URINE QUANT TIMED SPECIMEN </t>
  </si>
  <si>
    <t>AUTOLOGOUS BLD COL/PROC/STORE-PREDEPOSIT</t>
  </si>
  <si>
    <t xml:space="preserve">ETHCHLORVYNOL                           </t>
  </si>
  <si>
    <t xml:space="preserve">UNLISTED MICROBIOLOGY PROCEDURE         </t>
  </si>
  <si>
    <t>MOLEC DIAG ISOL/EXT HIGHLY PUR NUCL ACID</t>
  </si>
  <si>
    <t>PROTHROMBIN TIME; SUB,PLASMA FRACTION,EA</t>
  </si>
  <si>
    <t>MAGN RESON IMAG TEMPORONMANDIBULAR JOINT</t>
  </si>
  <si>
    <t xml:space="preserve">GLUCOSIDASE                             </t>
  </si>
  <si>
    <t xml:space="preserve">ANTIBODY; CHLAMYDIA                     </t>
  </si>
  <si>
    <t>MAG RESON IMAG,ANY JNT LOW EXT;W/CONTRAS</t>
  </si>
  <si>
    <t xml:space="preserve">DRUG, CONFIRMATION, EACH PROCEDURE      </t>
  </si>
  <si>
    <t xml:space="preserve">CHROMOSOME ANAL ADDITIONAL KARYOTYPING  </t>
  </si>
  <si>
    <t xml:space="preserve">GROWTH HORMONE SUPPRESSION PANEL        </t>
  </si>
  <si>
    <t xml:space="preserve">GASTRIC EMPTYING STUDY                  </t>
  </si>
  <si>
    <t>KIDNEY IM W/VASC FLO&amp;FUNC;MULTI,W-W/O PH</t>
  </si>
  <si>
    <t>IMMUNOASSAY INFECT ANTI,QUANTIT,NOT SPEC</t>
  </si>
  <si>
    <t>RADIO EXAM COPLX NOTION BODY SEC NO U BI</t>
  </si>
  <si>
    <t>INTRO OF INCATH OR CATH RENL PEL DRA S&amp;I</t>
  </si>
  <si>
    <t xml:space="preserve">THIOCYANATE                             </t>
  </si>
  <si>
    <t>AMINO ACIDS 6 OR &gt; QUANTITATIVE EACH SPE</t>
  </si>
  <si>
    <t xml:space="preserve">ACTH STIMULATION PANEL ADRENAL INSUFFIC </t>
  </si>
  <si>
    <t xml:space="preserve">INF AG ANTIG DECT/ENZYME,EA. POLYVALENT </t>
  </si>
  <si>
    <t>MAG RESON IMAG,UPPER EXT,W/O CONTRAST MA</t>
  </si>
  <si>
    <t xml:space="preserve">SIROLIMUS                               </t>
  </si>
  <si>
    <t xml:space="preserve">CLOTTING FACTOR 11 PROTHROMBIN SPECIFIC </t>
  </si>
  <si>
    <t xml:space="preserve">SEX HORMONE BINDING GLOBULIN (SHBG)     </t>
  </si>
  <si>
    <t xml:space="preserve">TRANSLUM ATHERECTOMY PERIPHERAL ARTERY  </t>
  </si>
  <si>
    <t xml:space="preserve">CYSTO MINI THREE VIEW SUPER/INTERP      </t>
  </si>
  <si>
    <t xml:space="preserve">RADIO EXAM SPINE CERVI MINIM FOUR VIEWS </t>
  </si>
  <si>
    <t xml:space="preserve">MAMMOGRAPHIC GUIDANCE/NEEDLE PLAC,BREAT </t>
  </si>
  <si>
    <t xml:space="preserve">HOMOVANILLIC ACID (HVA)                 </t>
  </si>
  <si>
    <t xml:space="preserve">ANTIBODY; TOXOPLASMA                    </t>
  </si>
  <si>
    <t xml:space="preserve">COMPUT TOMO THORACIC SPINE W/CONT MEDIA </t>
  </si>
  <si>
    <t xml:space="preserve">TRANSLUM ATHERECTOMYVISCERAL SUP/INTERP </t>
  </si>
  <si>
    <t>FIBRINOLYTIC FACTORS &amp; INHIBITORS;PLASMI</t>
  </si>
  <si>
    <t xml:space="preserve">OBSTETRIC PANEL (LIST COMPONENTS HTC)   </t>
  </si>
  <si>
    <t xml:space="preserve">X-RAY RIBS UNILAT POST/ANT CHEST(MIN 3) </t>
  </si>
  <si>
    <t xml:space="preserve">INTENSTY RADIOTHPY,CRIT STRUCT SPECIF   </t>
  </si>
  <si>
    <t>RADIO EXAM CHEST APICAL LORDOTIC PROCEDU</t>
  </si>
  <si>
    <t>LABEL RED CELL SEQUESTR,DIFF ORGAN/TISSU</t>
  </si>
  <si>
    <t xml:space="preserve">ESOPHAGEAL MOTILITY                     </t>
  </si>
  <si>
    <t>MRI,JOINT LOW EXTRM; W/O &amp; W/ CONTR MATR</t>
  </si>
  <si>
    <t>TRICHOMONAS VAGINALIS, DIRECT PROBE TECH</t>
  </si>
  <si>
    <t xml:space="preserve">URETHROCYSTO VOIDING SUPERVIS/INTERP    </t>
  </si>
  <si>
    <t xml:space="preserve">IA-IMUNOASY OPTI OBSV;STREPTOCOUS,GRP A </t>
  </si>
  <si>
    <t>GLUCOSE TOLERANCE TEST(GTT)3SPEC(INC GL)</t>
  </si>
  <si>
    <t xml:space="preserve">RENAL FUNCTION PANEL                    </t>
  </si>
  <si>
    <t>CT,LOWER EXTREMITY;W/O &amp; W/CONTRAST MATR</t>
  </si>
  <si>
    <t>NON-CARDI VASCULAR FLOW IMAG(ANGIO,VENO)</t>
  </si>
  <si>
    <t>DU-ENER X-RAY,BONE DENSTY,APPENDICULAR S</t>
  </si>
  <si>
    <t xml:space="preserve">BLEEDING TIME                           </t>
  </si>
  <si>
    <t xml:space="preserve">CHEM HEMOGLOBIN UNSTABLE SCREEN         </t>
  </si>
  <si>
    <t>MAGNET RESONANCE,SPIN CANAL,THORAS,W CON</t>
  </si>
  <si>
    <t xml:space="preserve">GLUTAMYLTRANSFERASE, GAMMA (GGT)        </t>
  </si>
  <si>
    <t xml:space="preserve">CA UA QUANITATIVE TIMED SPECIMEN        </t>
  </si>
  <si>
    <t>KIDNEY 1MG W-VASC FLO&amp;FUNC;1STD W-O PHAR</t>
  </si>
  <si>
    <t xml:space="preserve">ANTIBODY ELUTION (RBC) EACH ELUTION     </t>
  </si>
  <si>
    <t>MAG RESON ANGOIGR,NECK;W/O CONTRAST MATE</t>
  </si>
  <si>
    <t xml:space="preserve">CARCINOEMBRYONIC ANTIGEN (CEA)          </t>
  </si>
  <si>
    <t xml:space="preserve">BLOOD TYPING; RH (D)                    </t>
  </si>
  <si>
    <t>GLUCOSE, BLOOD,GLUC MNT DVC APR FOR HOME</t>
  </si>
  <si>
    <t xml:space="preserve">LACTOSE, URINE; QUANTITATIVE            </t>
  </si>
  <si>
    <t>CYTOPATHOLOGY SLIDES CER/VAG TBS-CELL SL</t>
  </si>
  <si>
    <t xml:space="preserve">SERUM SCREEN CYTOTOX % REACT ANTI QUICK </t>
  </si>
  <si>
    <t>MAGNET RESONANCE,SPIN CANAL,LUMBR,WO CON</t>
  </si>
  <si>
    <t xml:space="preserve">SODIUM; OTHER SOURCE                    </t>
  </si>
  <si>
    <t>ANGIO, ARTERIOVEN SHUNT (EG DIAL PAT) S&amp;</t>
  </si>
  <si>
    <t>ONCOPROTIN;DES-GAMA-CARBOX-PROTHROM(DCP)</t>
  </si>
  <si>
    <t xml:space="preserve">RADIOLOGIC EXAM CHEST SINGLE VIEW FRONT </t>
  </si>
  <si>
    <t>THROTROPIN RELEAS HORMONE PAN HYPERPROLA</t>
  </si>
  <si>
    <t xml:space="preserve">ANTIBODY; SALMONELLA                    </t>
  </si>
  <si>
    <t>MAGNETIC RESONANCE IMAGE BRAIN W/O CONTR</t>
  </si>
  <si>
    <t>R CELL SURV STDY SPLENIC HEPATIC SEQUEST</t>
  </si>
  <si>
    <t xml:space="preserve">ALBUMIN; ISCHEMIA MODIFIED              </t>
  </si>
  <si>
    <t>THAWING CRYOPRESERVED;OOCYTES,EA ALIQUOT</t>
  </si>
  <si>
    <t xml:space="preserve">HEMOSIDERIN; QUANTITATIVE               </t>
  </si>
  <si>
    <t>COAGULATION&amp;FIBINOLYSIS,FUNCTIONAL ACTIV</t>
  </si>
  <si>
    <t>IAA- ENZYME IMMUNOAS...HEP BE ANTG(HBEAG</t>
  </si>
  <si>
    <t xml:space="preserve">CELL COUNT MISC BODY FLUID W DIFFERENT  </t>
  </si>
  <si>
    <t>ESOPHAGUS,FUNC TST,AC REFX W/NASAL;PROLO</t>
  </si>
  <si>
    <t>IA-NUCLC ACD;CHLAMD TRACHOM,AMP PROB TEC</t>
  </si>
  <si>
    <t>IN AG ANTG DET/FLO AB;TREPONEMA PALLIDUM</t>
  </si>
  <si>
    <t>ELASTASE,PANCREATIC,FECAL,QUAL/SEMI-QUAL</t>
  </si>
  <si>
    <t>ANGIO EXTREM UNILAT SUPERVIS/INTERPRETAT</t>
  </si>
  <si>
    <t>CHROMOSOME ANALYSIS-BKING SYNDROMS 100 C</t>
  </si>
  <si>
    <t xml:space="preserve">ADRENOCORTICOTROPIC HORMONE (ACTH)      </t>
  </si>
  <si>
    <t>RADIO EXAM ABDOM COMP INC DECUB AN/OR ER</t>
  </si>
  <si>
    <t>RADIOLOG EXAM SPINE LUMBOSACRAL;MIN.4 VI</t>
  </si>
  <si>
    <t xml:space="preserve">BLOOD COUNT,  LEUKOCYTE(WBC), AUTOMATED </t>
  </si>
  <si>
    <t>IAA-ENZY IMUNOA...CLOSTRIDM DIFFIC TOX A</t>
  </si>
  <si>
    <t xml:space="preserve">RADIOLOGIC EXAM;KNEE,ONE OR TWO VIEWS   </t>
  </si>
  <si>
    <t xml:space="preserve">RADIOPHARMACEUTICAL THERAPY, ORAL ADMIN </t>
  </si>
  <si>
    <t>MOLECULAR DIAG ID SEQUENCING SING EA SEG</t>
  </si>
  <si>
    <t xml:space="preserve">BLOOD COUNT; MANUAL CELL COUNT, EACH    </t>
  </si>
  <si>
    <t>DEXAMETHASONE SUPPRESSION PANEL, 48 HOUR</t>
  </si>
  <si>
    <t>SICKLING RBC SLIDE METH SEE 83020 OTHERS</t>
  </si>
  <si>
    <t>CULT BACT ANY SOURC ANAEROB W/ID/ISOLATE</t>
  </si>
  <si>
    <t xml:space="preserve">U-SND GUIDANCE, INTRAOPERATIVE          </t>
  </si>
  <si>
    <t xml:space="preserve">GONADOTROPIN, CHORIONIC;FREE BETA CHAIN </t>
  </si>
  <si>
    <t xml:space="preserve">ORGANIC ACID,SINGLE,QUANTITIVE          </t>
  </si>
  <si>
    <t xml:space="preserve">TRANSFERASE; ALANINE AMINO (ALT) (SGPT) </t>
  </si>
  <si>
    <t xml:space="preserve">CHOLINESTERASE SERUM                    </t>
  </si>
  <si>
    <t xml:space="preserve">TYROSINE                                </t>
  </si>
  <si>
    <t>PLATELET; AGGREGATION (IN VITRO)EA AGENT</t>
  </si>
  <si>
    <t>RADIO EXAM SPINE,ENTIRE,SURVEY,ANTER/LAT</t>
  </si>
  <si>
    <t xml:space="preserve">CHROSOME ANALYS BREAK SYND 100 CELLS    </t>
  </si>
  <si>
    <t>CYTOPATH,CERV/VAG,PRESV FLU,TECH UND PHY</t>
  </si>
  <si>
    <t>IN AG DE-NU AC;BORELA BURG;AMP PROB TECH</t>
  </si>
  <si>
    <t>VIRUS ISOL;INOCUL/EMBRY EGG,SM ANIM W/OB</t>
  </si>
  <si>
    <t xml:space="preserve">GLUCOSE,BODY FLUID,OTHER THAN BLOOD     </t>
  </si>
  <si>
    <t>LYMPHANGIO EXTREM ONLY UNILAT SUPER/INTE</t>
  </si>
  <si>
    <t xml:space="preserve">OPTHALMIC ULTRASONIC FOB LOCALIZATION   </t>
  </si>
  <si>
    <t xml:space="preserve">THYROID IMAGING WITH VASCULAR FLOW      </t>
  </si>
  <si>
    <t xml:space="preserve">HEPATITIS A ANTIBODY(HAAB), TOTAL       </t>
  </si>
  <si>
    <t>HLA TYP;A,B,OR C (A10,B7B27)SINGLE ANTIG</t>
  </si>
  <si>
    <t xml:space="preserve">CHEM 20 HYDROXYPROGESTERONE             </t>
  </si>
  <si>
    <t>ALLERGEN SPEC IGE; QUANT/SEMIQUANT EA AL</t>
  </si>
  <si>
    <t>DOPPLER ECHOCARD-FOLLOW UP OR LIMIT STDY</t>
  </si>
  <si>
    <t xml:space="preserve">CYTOPATH ANY OTH SOURCE EXTEND STUDY +5 </t>
  </si>
  <si>
    <t xml:space="preserve">ANTISTREPTOLYSIN SCREEN                 </t>
  </si>
  <si>
    <t xml:space="preserve">BLOOD SMEAR, SPUN MICROHEMATOCRIT       </t>
  </si>
  <si>
    <t>MOLECULAR DIAG;AMPLIFICATION,TARGET,EACH</t>
  </si>
  <si>
    <t>MRI,SPINAL CAN,W/O &amp; W/CONTR MATR,LUMBAR</t>
  </si>
  <si>
    <t xml:space="preserve">MYOCAR IMA INFARC AVID PLA QUAL-QUAN    </t>
  </si>
  <si>
    <t>RADIO SINUS-PARANAS-COMPLETE MIN 3 VIEWS</t>
  </si>
  <si>
    <t>MYOCAR IMA INFAR AVID TOMO SPECT W/WO QN</t>
  </si>
  <si>
    <t>TRNSLU BAL ANGIO,EA ADD VISC ART,RAD S&amp;I</t>
  </si>
  <si>
    <t xml:space="preserve">CHEM HEMOGLOBIN PLASMA                  </t>
  </si>
  <si>
    <t>MRI;ORBIT,FACE,&amp; NECK,W/O&amp;W/CONTR MATR'L</t>
  </si>
  <si>
    <t xml:space="preserve">RADIOLOGIC EXAM UPPER GI W/O KUB        </t>
  </si>
  <si>
    <t xml:space="preserve">ULTRASONIC GUID AMNIOCENTESIS IMAG S&amp;I  </t>
  </si>
  <si>
    <t xml:space="preserve">ANTIBODY; CANDIDA                       </t>
  </si>
  <si>
    <t xml:space="preserve">COMPLEMENT FIXATION TESTS EA ANTIGEN    </t>
  </si>
  <si>
    <t>PULMONARY VENT IMAGING AEROSOL MULTI PRJ</t>
  </si>
  <si>
    <t xml:space="preserve">NUCL MOLECLR DIAGN;NUCL ACID PROBE,EACH </t>
  </si>
  <si>
    <t xml:space="preserve">LEAD                                    </t>
  </si>
  <si>
    <t xml:space="preserve">IV INFUSION,HYDRATION;INITIAL,31-60MIN  </t>
  </si>
  <si>
    <t xml:space="preserve">MYELOG CERVICAL SUPER/INTERP            </t>
  </si>
  <si>
    <t xml:space="preserve">PRETREAT SERUM,INCUBATE W DRUGS EACH    </t>
  </si>
  <si>
    <t>DETERMIN CENTRAL C-V HEMODYNAM W/WO PHAR</t>
  </si>
  <si>
    <t>LYMPHOCYTE TRANSF,MITOGEN/ANTIG IND BLAS</t>
  </si>
  <si>
    <t>CULT TYPING IMUNOFLUOR METH EA ANTISERUM</t>
  </si>
  <si>
    <t xml:space="preserve">ULTRASOUND, SCROTUM AND CONTENTS        </t>
  </si>
  <si>
    <t>INF AG ANTIG DECT/IMMUNOFL;PNEUMOCYS CAR</t>
  </si>
  <si>
    <t>IN AG-NUCLC ACD;NISSERA GONORHOE,AMP PRO</t>
  </si>
  <si>
    <t>HYPERTHERMIA GENERAT INTERSTIT PROB 5FEW</t>
  </si>
  <si>
    <t xml:space="preserve">KETOGENIC STEROIDS; FRACTIONATION       </t>
  </si>
  <si>
    <t xml:space="preserve">MOLEC DIAG DOT/SLOT BLOT PRODUCTION     </t>
  </si>
  <si>
    <t>CT, BONE DENSITY STUDY, APPENDICULAR SKE</t>
  </si>
  <si>
    <t xml:space="preserve">PORPHOBILINOGEN URINE QUALITATIVE       </t>
  </si>
  <si>
    <t xml:space="preserve">ERYTHROPOIETIN                          </t>
  </si>
  <si>
    <t xml:space="preserve">SEE CODE 87164 WITHOUT COLLECTION       </t>
  </si>
  <si>
    <t xml:space="preserve">IMMUNOELECTROPHORESIS CROSS 2 DIMENSIAL </t>
  </si>
  <si>
    <t xml:space="preserve">CYSTINE &amp; HOMOCYSTINE UA QUALITATIVE    </t>
  </si>
  <si>
    <t>VENOOR EXTREM UNILAT SUPERVIS /INTERPRET</t>
  </si>
  <si>
    <t xml:space="preserve">VISCOSITY                               </t>
  </si>
  <si>
    <t xml:space="preserve">IV INF,THRPY,PROPHYLAXIS,DIAG,CONCURRNT </t>
  </si>
  <si>
    <t xml:space="preserve">VIRUS ISOL;TISU CULT,ADD STUD/DEF ID,EA </t>
  </si>
  <si>
    <t>MRI,SPINAL CAN,W/O &amp; W/CONTR MAT,CERVICL</t>
  </si>
  <si>
    <t>DILAT OF NEPHRO, URETERS,OR URETHERA S&amp;I</t>
  </si>
  <si>
    <t xml:space="preserve">RADIO EXAM HAND MINIMUM THREE VIEWS     </t>
  </si>
  <si>
    <t>GALACTOSE-1-PHOSPH URIDYLTRANSFER QUANTI</t>
  </si>
  <si>
    <t xml:space="preserve">GROWTH HORMONE, HUMAN(HGH), ANTIBODY    </t>
  </si>
  <si>
    <t xml:space="preserve">RADILOGIC EXAM SPINE THORACIC 2 VIEWS   </t>
  </si>
  <si>
    <t xml:space="preserve">SUGARS-MULTI QUALITATIVE EACH SPECIMEN  </t>
  </si>
  <si>
    <t xml:space="preserve">ACTH STIMULATION PANEL 21 HYDROXY DEFIC </t>
  </si>
  <si>
    <t xml:space="preserve">CT, HEAD/BRAIN; W/O;CONTRAST MATERIAL   </t>
  </si>
  <si>
    <t xml:space="preserve">DOXEPIN                                 </t>
  </si>
  <si>
    <t>RADIOLOG GUID PERCU DRAIN ABS,RAD SUP&amp;IN</t>
  </si>
  <si>
    <t xml:space="preserve">CYSTATIN C                              </t>
  </si>
  <si>
    <t xml:space="preserve">TRIDOTHYRONINE (T-3) ; REVERSE          </t>
  </si>
  <si>
    <t xml:space="preserve">SOMATOMEDIN                             </t>
  </si>
  <si>
    <t xml:space="preserve">RADIO EXAM SHOULDER ONE VIEW            </t>
  </si>
  <si>
    <t xml:space="preserve">GLUCOSE; BLOOD,REAGENT STRIP            </t>
  </si>
  <si>
    <t xml:space="preserve">VANCOMYCIN                              </t>
  </si>
  <si>
    <t xml:space="preserve">THYROID IMAGING MULTI DETERMINATIONS    </t>
  </si>
  <si>
    <t>MOLECULAR DIAGNOSTICS; REVERSE TRANSCRIP</t>
  </si>
  <si>
    <t xml:space="preserve">ANTIBODY; HEMOPHILUS INFLUENZA          </t>
  </si>
  <si>
    <t xml:space="preserve">SODIUM URINE SOMOTOMAM SEE 83632 83003  </t>
  </si>
  <si>
    <t>MAG RESON IMAG,LOW EXT NOT JOINT,W/O CON</t>
  </si>
  <si>
    <t>INTRALUM DILATN OF STRICT &amp;OR OBSTRU S&amp;I</t>
  </si>
  <si>
    <t xml:space="preserve">HEMOGLOBIN,QUANT,TRANSCUT;METHEMIGLOBIN </t>
  </si>
  <si>
    <t>IN AG ANTG DET/FLO AB;VARICELLA ZOSTER V</t>
  </si>
  <si>
    <t xml:space="preserve">ANTIBODY; RUBELLA                       </t>
  </si>
  <si>
    <t xml:space="preserve">PROSTATE SPECIFIC ANTIGEN(PSA) FREE     </t>
  </si>
  <si>
    <t>IN AGT DET NUCLC ACD;HEPATITIS C,QUANTIF</t>
  </si>
  <si>
    <t xml:space="preserve">IRON                                    </t>
  </si>
  <si>
    <t xml:space="preserve">UNLISTED ENDOCRINE DIAGNOSTIC NUCLEAR   </t>
  </si>
  <si>
    <t xml:space="preserve">TROPONIN, QUALITATIVE                   </t>
  </si>
  <si>
    <t xml:space="preserve">BLOOD COUNT,COMPLETE CBC,AUTOMATED      </t>
  </si>
  <si>
    <t>COMP TOMO LOW EXTREM W/CONTRAST MATERIAL</t>
  </si>
  <si>
    <t xml:space="preserve">CLOTTING; FACTOR VIII VW FACTOR ANTIGEN </t>
  </si>
  <si>
    <t>LEV III-SURG PATH,GROSS&amp;MICROSCOPIC EXAM</t>
  </si>
  <si>
    <t>ENDO CATH OF BILIARY DUCT SYSTEM SUP&amp;INT</t>
  </si>
  <si>
    <t xml:space="preserve">POTASSIUM; SERUM                        </t>
  </si>
  <si>
    <t>MOLECULR DIAG;SIGNAL AMP PT NUCLEIC ACID</t>
  </si>
  <si>
    <t>MAG RESON ANGIOGR,HEAD;W/O CONTRAST MATE</t>
  </si>
  <si>
    <t>LEV.V-SURG PATHOLOGY,GROSS&amp;MICROSCOP EXA</t>
  </si>
  <si>
    <t xml:space="preserve">GOLD                                    </t>
  </si>
  <si>
    <t xml:space="preserve">CORTICOSTERONE                          </t>
  </si>
  <si>
    <t>CALCULUS QUANTITATIVE INFRARED SPECTROSC</t>
  </si>
  <si>
    <t>RADIO EXAM UPPER EXTREMITY INFANT MINI-2</t>
  </si>
  <si>
    <t>RADIO EXAM PART EXAM LESS THN FULL MOUTH</t>
  </si>
  <si>
    <t>LYMPHANG EXTREMITY ONLY BILAT SUPER/INTE</t>
  </si>
  <si>
    <t>MRI,JOINT UPPER EXTREM,W/O&amp; W/CONTR MATR</t>
  </si>
  <si>
    <t>RADIO EXAM SPINE SING VIEW SPECIFY LEVEL</t>
  </si>
  <si>
    <t xml:space="preserve">INSULIN; FREE                           </t>
  </si>
  <si>
    <t>TISSUE TYP LYMPHOCYTE CULTURE MIXED (MLC</t>
  </si>
  <si>
    <t>CLOTTING; FACTOR VIII VW FACTOR MULTI AN</t>
  </si>
  <si>
    <t xml:space="preserve">ALBUMIN SERUM                           </t>
  </si>
  <si>
    <t xml:space="preserve">BLOOD TYPING; RH PHENOTYPING, COMPLETE  </t>
  </si>
  <si>
    <t xml:space="preserve">CATECHOLAMINES; TOTAL URINE             </t>
  </si>
  <si>
    <t>NUCLEAR MOLECLR DIAGNSTC;INTRPR &amp; REPORT</t>
  </si>
  <si>
    <t>IN AG D-NUC ACD;CANDIDA SPC;DIR PROB TEC</t>
  </si>
  <si>
    <t>SPECIAL STAINS GROUP I MICROORGANIS EACH</t>
  </si>
  <si>
    <t xml:space="preserve">HOMOCYSTINE                             </t>
  </si>
  <si>
    <t xml:space="preserve">ANTIBODY; PARVOVIRUS                    </t>
  </si>
  <si>
    <t xml:space="preserve">GLUTAMINE (GLUTAMIC ACID AMIDE)         </t>
  </si>
  <si>
    <t>RADIO EXAM RENAL CYST TRANS CONTR SUP/IN</t>
  </si>
  <si>
    <t>INF AG PHENO ANAL/NUC AC;HIV1;1-10 DRUGS</t>
  </si>
  <si>
    <t xml:space="preserve">ANTIBODY; ENCEPHALITIS, WESTERN EQUINE  </t>
  </si>
  <si>
    <t xml:space="preserve">FLOW CYTOMETRY,INTERPRET; 2-8 MARKERS   </t>
  </si>
  <si>
    <t xml:space="preserve">MAG RESONANCE ANGIO, LOWER EXTREM, W/WO </t>
  </si>
  <si>
    <t xml:space="preserve">NERVE TEASING PREPARATIONS              </t>
  </si>
  <si>
    <t xml:space="preserve">ANTIBODY; ASPIRGILLUS                   </t>
  </si>
  <si>
    <t xml:space="preserve">GUANOSINE MONOPHOSPHATE (GMP), CYCLIC   </t>
  </si>
  <si>
    <t>NUCL MOLECULAR DIAGNOSTICS;ENZYM DIGESTI</t>
  </si>
  <si>
    <t>SMEAR,PRIM SOURCE W/INTERP;SPECIAL STAIN</t>
  </si>
  <si>
    <t xml:space="preserve">COMPUT AXIAL TOMO MAXILLO WITH CONTRAST </t>
  </si>
  <si>
    <t>SUGARS-SINGLE QUANTITATIVE EACH SPECIMEN</t>
  </si>
  <si>
    <t xml:space="preserve">CULTURE MYCOBACTER DEFIN ID EA ISOLATE  </t>
  </si>
  <si>
    <t xml:space="preserve">MYELOPEROXIDASE(MPO)                    </t>
  </si>
  <si>
    <t>PATH CONSULT IN SURG;CYTOLOGIC EXAM,INIT</t>
  </si>
  <si>
    <t xml:space="preserve">ANTIBODY; RUBEOLA                       </t>
  </si>
  <si>
    <t>INTRAVAS ULTRS;RAD SUPV&amp;INT;EACH ADD VES</t>
  </si>
  <si>
    <t xml:space="preserve">ECHOGRAPHY, TRANSRECTAL                 </t>
  </si>
  <si>
    <t xml:space="preserve">RADIO EXAM SKULL LESS FOUR W/WO STEREO  </t>
  </si>
  <si>
    <t xml:space="preserve">THYROXIN BINDING GLOB SEE82756 84441-80 </t>
  </si>
  <si>
    <t xml:space="preserve">BL COUNT,COMPLETE CBC W/AUTO DIFF WBC   </t>
  </si>
  <si>
    <t xml:space="preserve">CHANGE PERCUT DRAIN CATH MONIT...S AN I </t>
  </si>
  <si>
    <t xml:space="preserve">ANTIBODY; GIARDIA LAMBLIA               </t>
  </si>
  <si>
    <t xml:space="preserve">IMMUNOFIXATION ELECTOPORESIS            </t>
  </si>
  <si>
    <t xml:space="preserve">GTT EA ADD BEYOND 3 SP MEDS-36410 99070 </t>
  </si>
  <si>
    <t>ANTIBODY; ENTEROVIRUS (EG,COXSACKIE,ECHO</t>
  </si>
  <si>
    <t xml:space="preserve">MORPHOMETRIC ANALYSIS NERVE             </t>
  </si>
  <si>
    <t xml:space="preserve">HYDROXYPROGESTERONE, 17-D               </t>
  </si>
  <si>
    <t xml:space="preserve">PHOSPHATE, ACID; PROSTATIC              </t>
  </si>
  <si>
    <t xml:space="preserve">RADIO EXAM HIP DURING OR PROCEDURE      </t>
  </si>
  <si>
    <t xml:space="preserve">AMNIOTIC FLUID SCAN SEE 83661 82205-210 </t>
  </si>
  <si>
    <t xml:space="preserve">HEPARIN PROTAMINE TOLERANCE TEST        </t>
  </si>
  <si>
    <t xml:space="preserve">CHEM LACTOSE URINE QUALITATIVE          </t>
  </si>
  <si>
    <t>CT, CERV SPINE;W/O &amp; W/CONTRAST MATERIAL</t>
  </si>
  <si>
    <t xml:space="preserve">DIGOXIN                                 </t>
  </si>
  <si>
    <t xml:space="preserve">PORPHYRINS FECES QUANTITATIVE           </t>
  </si>
  <si>
    <t>CYTOPATHOLOGY SMEARS CER/VAG SCREEN/PHYS</t>
  </si>
  <si>
    <t>ANTIBODY, LYME DISEASE, CONFIRMATORY TST</t>
  </si>
  <si>
    <t xml:space="preserve">SPLENOPORTO SUPERVIS/INTERPRETATION     </t>
  </si>
  <si>
    <t>ANTIBODY; EPSTEIN-BARR VIRUS, NUC.ANTIGE</t>
  </si>
  <si>
    <t>MYELIN BASIC PROTEIN,CEREBROSPINAL FLUID</t>
  </si>
  <si>
    <t xml:space="preserve">CALCULUS QUANT X-RAY DIFFRACTION        </t>
  </si>
  <si>
    <t xml:space="preserve">MUCIN SYNOVIAL FLD ROPE TEST            </t>
  </si>
  <si>
    <t>UNLISTED DIAGNOSTIC RADIOGRAPHIC PROCEDR</t>
  </si>
  <si>
    <t>CYTOPATH,CERV/VAG,THIN LAYER,RESCREENING</t>
  </si>
  <si>
    <t xml:space="preserve">DIPROPYLACETIC ACID (VALPROIC ACID)     </t>
  </si>
  <si>
    <t xml:space="preserve">LARYNGO CONTR SUPER/INTERP              </t>
  </si>
  <si>
    <t>INFEC AG ANTIGN DETEC;STREPTOCOC,GROUP B</t>
  </si>
  <si>
    <t xml:space="preserve">UROBILINOGEN URINE QUALITATIVE          </t>
  </si>
  <si>
    <t>SHUNTOGRAM/INVESTIGAT RADIO SUPERV&amp;INTER</t>
  </si>
  <si>
    <t xml:space="preserve">PHENOTHIAZINE                           </t>
  </si>
  <si>
    <t xml:space="preserve">INTRINSIC FACTOR                        </t>
  </si>
  <si>
    <t xml:space="preserve">HYDROXYCORTICOSTEROIDS, 17- (17-OHCS)   </t>
  </si>
  <si>
    <t xml:space="preserve">THYROGLOBULIN                           </t>
  </si>
  <si>
    <t xml:space="preserve">CT, PELVIS; W/O CONTRAST MATERIAL       </t>
  </si>
  <si>
    <t>LYMPHOCYT ASSAY VISUAL XMATCH W\B TITRAT</t>
  </si>
  <si>
    <t xml:space="preserve">LEUROCYTE HISTAMINE RELEASE TEST LHR    </t>
  </si>
  <si>
    <t xml:space="preserve">DIMETHADIONE                            </t>
  </si>
  <si>
    <t xml:space="preserve">CERULOPLASMIN                           </t>
  </si>
  <si>
    <t xml:space="preserve">FLOW CYTOMETRY,CELL SURF,TECH COMP,1ST  </t>
  </si>
  <si>
    <t xml:space="preserve">HEPATITIS B SURFACE ANTIBODY(HBSAB)     </t>
  </si>
  <si>
    <t xml:space="preserve">TRIGLYCERIDES                           </t>
  </si>
  <si>
    <t>ANGIO PULMON BILAT SELECT SUPERVIS/INTER</t>
  </si>
  <si>
    <t>ULTRASND,SOF TISUE/HEAD&amp;NECK,B-SCAN,REAL</t>
  </si>
  <si>
    <t xml:space="preserve">COLD AGGLUTININ; TITER                  </t>
  </si>
  <si>
    <t xml:space="preserve">NATRIURETIC PEPTIDE                     </t>
  </si>
  <si>
    <t>FIBRIN(OGEN) DEGRAD (SPLIT) PROD QUANTIT</t>
  </si>
  <si>
    <t xml:space="preserve">PULMONARY PERF IMAGE W/VENT ONE OR MORE </t>
  </si>
  <si>
    <t>CULTURE, FUNGI, DEFINITIVE ID,EA.ORGANIS</t>
  </si>
  <si>
    <t>REMOVE CENTRAL VENOUS DEVC LUMEN OBSTRUC</t>
  </si>
  <si>
    <t xml:space="preserve">RADIOLOGIC EXAM CHEST STEREO FRONTAL    </t>
  </si>
  <si>
    <t xml:space="preserve">SEE 89130 AFTER STIMULATION             </t>
  </si>
  <si>
    <t>UA/DIP STK-TBLT W/O MICRO NONAUTO(SEE CO</t>
  </si>
  <si>
    <t>SEDIMENTATION RATE,ERYTHROCYTE; AUTOMATE</t>
  </si>
  <si>
    <t xml:space="preserve">ANTIBODY; INFLUENZA VIRUS               </t>
  </si>
  <si>
    <t>FIBRIN(OGEN) DEGRAD (SPLIT) PROD PARACOA</t>
  </si>
  <si>
    <t xml:space="preserve">RADIOLOGIC EXAM PELVIS;1 OR 2 VEIWS     </t>
  </si>
  <si>
    <t xml:space="preserve">MRI, BONE MARROW BLOOD SUPPLY           </t>
  </si>
  <si>
    <t>SPLITTING OF BLOOD OR BLOOD PROD EA UNIT</t>
  </si>
  <si>
    <t xml:space="preserve">CT ANGIO,ABDOMEN, W/CONTRAST MATERIA    </t>
  </si>
  <si>
    <t xml:space="preserve">BONE IMAGING WHOLE BODY                 </t>
  </si>
  <si>
    <t xml:space="preserve">CYTOPATHOLOGY SMEARS CER/VAG W/RESCREEN </t>
  </si>
  <si>
    <t xml:space="preserve">CLOT RETRACTION                         </t>
  </si>
  <si>
    <t xml:space="preserve">HYDROXYPROLINE; TOTAL                   </t>
  </si>
  <si>
    <t>FETAL FIBRONECTIN-CERVICOVAGINAL SECRETI</t>
  </si>
  <si>
    <t>HEMOGLOBIN-COPPER SULFATE METHOD-NON AUT</t>
  </si>
  <si>
    <t>CULTU BACT ANAROB ISOLA ADD METH ID EACH</t>
  </si>
  <si>
    <t xml:space="preserve">CHEMOTAXIS ASSAY SPECIFY METHOD         </t>
  </si>
  <si>
    <t>PATHOLO CONSUL/SURG;1ST TISUE,W/FROZ SEC</t>
  </si>
  <si>
    <t xml:space="preserve">COMPUTER TOMO PELVIS W/CONTROL MATERIAL </t>
  </si>
  <si>
    <t xml:space="preserve">TACROLIMUS                              </t>
  </si>
  <si>
    <t>RADIO EXAM ELBOW ARTHRO SUPERVIS/INTERPR</t>
  </si>
  <si>
    <t>ULTRASON GUID PLACE/RADIAT THERAP FIELDS</t>
  </si>
  <si>
    <t>OSMOTIC FRAGILITY INCUBATED QUANTITATIVE</t>
  </si>
  <si>
    <t xml:space="preserve">CT, PELVIS, W/CONTRAST MATERIAL(S)      </t>
  </si>
  <si>
    <t>INF AG ANTIG DET/FLOU AB;INFLUENZA A VIR</t>
  </si>
  <si>
    <t xml:space="preserve">TRANSCORTIN (CORTISOL BINDING GLOBULIN) </t>
  </si>
  <si>
    <t>IA-NU A;LEGIONLA PNEUMOPHILA,AMP PRO TEC</t>
  </si>
  <si>
    <t xml:space="preserve">CLOTTING FACTOR X1                      </t>
  </si>
  <si>
    <t>MRI,UPPER EXTRM/NOT JOINT,W/O&amp;W/CONT MAT</t>
  </si>
  <si>
    <t>PROCAINAMIDE W/METABOLITES(EG,N-ACET,PRO</t>
  </si>
  <si>
    <t>RADIO EXAM STERNOCLAVIC JOIN/S MIN THREE</t>
  </si>
  <si>
    <t>ANGIO INTERNAL MAMMARY SUPERVIS/INTERPRE</t>
  </si>
  <si>
    <t>DUODENAL INTUB/ASP COLLEC MULTI FRAC SPE</t>
  </si>
  <si>
    <t xml:space="preserve">GLUCAGON                                </t>
  </si>
  <si>
    <t>CONSULT REPORT REFER MATERIAL PREP SLIDE</t>
  </si>
  <si>
    <t>ANTIHUMAN GLOBULIN TEST;DIR,EA ANTISERUM</t>
  </si>
  <si>
    <t xml:space="preserve">CLOT LYSIS TIME WHOLE BLOOD DILUTION    </t>
  </si>
  <si>
    <t xml:space="preserve">ANTIBODY IDENT PLATELET ANTIBODIES      </t>
  </si>
  <si>
    <t xml:space="preserve">RADIOLOGIC EXAM FEMUR 2 VIEWS           </t>
  </si>
  <si>
    <t xml:space="preserve">CHOLANGIOG/PANCREATOG ADD SET SURGERY   </t>
  </si>
  <si>
    <t xml:space="preserve">IRRADIATION OF BLOOD PROD, EACH UNIT    </t>
  </si>
  <si>
    <t>PROTEIN TOTAL SERUM ELECTROPH FRACTION Q</t>
  </si>
  <si>
    <t>TISSUE CULT CHROMOSOME ANALYS OTH TISSUE</t>
  </si>
  <si>
    <t>RADIOLOG EXAM ANKLE COMPLETE MIN THREE V</t>
  </si>
  <si>
    <t>GONADOTROPIN; FOLLICLE STIMUL HORMN(FSH)</t>
  </si>
  <si>
    <t>BLOOD SMEAR,W/DIFF  WBC COUNT,BUFFY COAT</t>
  </si>
  <si>
    <t>RADIOLOG EX/NOSE-RECT/FOREIGN BODY CHILD</t>
  </si>
  <si>
    <t xml:space="preserve">CARIAC BLD IMG FIRST PASS TECHNIQUE     </t>
  </si>
  <si>
    <t>ENDOVAS REPAIR-INFRAR ABDOM AORT ANEURYS</t>
  </si>
  <si>
    <t>CYTOPOLOGY SLIDES CER/VAG TBS MANUAL SLR</t>
  </si>
  <si>
    <t xml:space="preserve">RADIOLOGIC EXAM ANKLE; 2 VIEWS          </t>
  </si>
  <si>
    <t>INF AGT-IMUNOASY OPTI OBSV;NOT OTHR SPEC</t>
  </si>
  <si>
    <t xml:space="preserve">INF AG ANTG DETC/IMUNOFLU TECH;ADENOVIR </t>
  </si>
  <si>
    <t>TRANSLUMINAL ATHERECTOMY RENAL SUP/INTER</t>
  </si>
  <si>
    <t>IAA, IMMUNOASSY W/OPTIC OBSER,ADENOVIRUS</t>
  </si>
  <si>
    <t>TRNSLUM BAL ANGIO,RENL/OTH VISC ART,RADI</t>
  </si>
  <si>
    <t xml:space="preserve">GASTRIC INTUBATION ASPIRATION           </t>
  </si>
  <si>
    <t xml:space="preserve">HEPATOBILIARY DUCTAL SYSTEM IMAG INC GB </t>
  </si>
  <si>
    <t xml:space="preserve">FAT DIFFERENTIAL FECES QUANTITATIVE     </t>
  </si>
  <si>
    <t xml:space="preserve">CHOLECYSTOGRAPHY ORAL CONTRAST          </t>
  </si>
  <si>
    <t>IN AGT-NUC AC STREPTOCOCUS,GRP A,DIR PRO</t>
  </si>
  <si>
    <t>REM FOR BOD ESOPH W/BALLN CATH RAD SUP&amp;I</t>
  </si>
  <si>
    <t>FETAL BIOPHYSIC PROFIL;W/O NON-STRES TES</t>
  </si>
  <si>
    <t xml:space="preserve">RADIO EXAM COLON AIR CONTRAST ONLY      </t>
  </si>
  <si>
    <t xml:space="preserve">THROMBOPLASTIN INHIBITION; TISSUE       </t>
  </si>
  <si>
    <t xml:space="preserve">MRI,CHEST,W/O &amp; W/CONTRAST MATERIAL     </t>
  </si>
  <si>
    <t>ULTRASND,PG UTERUS, FOLLOW-UP, PER FETUS</t>
  </si>
  <si>
    <t xml:space="preserve">ETHYLENE GLYCOL                         </t>
  </si>
  <si>
    <t xml:space="preserve">ANTINUCLEAR ANTIBODIES (ANA);TITER      </t>
  </si>
  <si>
    <t xml:space="preserve">PROCAINAMIDE                            </t>
  </si>
  <si>
    <t xml:space="preserve">DARK FIELD EXAM ANY SOURCE              </t>
  </si>
  <si>
    <t>MR ANGIO,PELVIS, W/ OR W/O CONTRAST MATR</t>
  </si>
  <si>
    <t>HYPERTHERMIA GENERATED INTRACAV PROBE(S)</t>
  </si>
  <si>
    <t xml:space="preserve">THEOPHYLLINE                            </t>
  </si>
  <si>
    <t>ANGIO PULMON UNILAT SELECT SUPERVIS/INTE</t>
  </si>
  <si>
    <t xml:space="preserve">FIBRIN DEGRAD, D-DIMMER;  QUNTITATIVE   </t>
  </si>
  <si>
    <t xml:space="preserve">LEV VI SUR PATH GROSS &amp; MICRO EXAM      </t>
  </si>
  <si>
    <t>IA-NU A-LEGIONLA PNEUMOPHILA,DIR PRO TEC</t>
  </si>
  <si>
    <t xml:space="preserve">RECEPTOR ASSAY; ESTROGEN                </t>
  </si>
  <si>
    <t>TRNSLUM BAL ANGIO,EA AD PERI ART,RAD S&amp;I</t>
  </si>
  <si>
    <t>DOPPLER ECHOCARDIOGRAPHY FETAL FOLLOW-UP</t>
  </si>
  <si>
    <t>PUL VEN IMG GS RBRE WAS W/WO S BRE S PRJ</t>
  </si>
  <si>
    <t>RADIOLOGIC EXAM CHEST COMPL MINIM 4 VIEW</t>
  </si>
  <si>
    <t xml:space="preserve">MURAMIDASE                              </t>
  </si>
  <si>
    <t>HYPERTHERMIA GENER INTERSTIT PROB 5 MORE</t>
  </si>
  <si>
    <t xml:space="preserve">TUMOR LOCALIZATION WHOLE BODY           </t>
  </si>
  <si>
    <t xml:space="preserve">SUSCEPT ANTIMICR AGN MICROD/MIN LETHALC </t>
  </si>
  <si>
    <t>ULTRASND,EXTREM,NON-VASCLR,B-SCAN&amp;/OR RE</t>
  </si>
  <si>
    <t xml:space="preserve">DOPPLER ECHOCARDIOGRAPHY FETAL COMPLETE </t>
  </si>
  <si>
    <t>KIDNEY IM W/VASCUL FLO&amp;FUNC;SING,PHA INT</t>
  </si>
  <si>
    <t xml:space="preserve">CHEM THERMOLABILE HEMOGLOBIN            </t>
  </si>
  <si>
    <t>CULTURE FUNGI ISOLAT OTH SOURCE(EX BLOOD</t>
  </si>
  <si>
    <t xml:space="preserve">HAPTOGLOBIN; PHENOTYPES                 </t>
  </si>
  <si>
    <t>IN AG-NU AC;PAPILLOMAVIRUS,HUMAN,AMP PRO</t>
  </si>
  <si>
    <t xml:space="preserve">BONE MARROW IMAGING WHOLE BODY          </t>
  </si>
  <si>
    <t>INF AGNT-NUCL ACID;NOS,AMPLIF PROBE/EACH</t>
  </si>
  <si>
    <t xml:space="preserve">MAMMOGRAPHY; BILATERAL                  </t>
  </si>
  <si>
    <t xml:space="preserve">RADIO EXAM CHEST INCLUDING FLUOROSCOPY  </t>
  </si>
  <si>
    <t xml:space="preserve">PULMONARY PERFUSION IMAGING PARTICULATE </t>
  </si>
  <si>
    <t>MORPHOMETRIC ANAL,TUMOR IMMUNOHISTOCHEMI</t>
  </si>
  <si>
    <t>THYROID HORM UPTAKE/THYR HORM BIND RATIO</t>
  </si>
  <si>
    <t>CULT TYP GAS LIQ CHROMATOGRA/HI PRES MET</t>
  </si>
  <si>
    <t xml:space="preserve">THYROXINE; TOTAL                        </t>
  </si>
  <si>
    <t>BLOOD SMEAR,W/DIFF  WBC COUNT,HEMATOCRIT</t>
  </si>
  <si>
    <t>HEAVY METAL(EG.ARSENC,BARIUM);QUANTIT,EA</t>
  </si>
  <si>
    <t xml:space="preserve">ALPHA-FETOPROTEIN; AFP-L3 FRACTION      </t>
  </si>
  <si>
    <t>COMBINED RAPID ANTERIOR PITUITARY EV PAN</t>
  </si>
  <si>
    <t xml:space="preserve">CARBAMAZEPINE; FREE                     </t>
  </si>
  <si>
    <t xml:space="preserve">FC RECEPTOR                             </t>
  </si>
  <si>
    <t xml:space="preserve">ANTIBODY; HTLV I                        </t>
  </si>
  <si>
    <t xml:space="preserve">PLATELET NEUTRALIZATION                 </t>
  </si>
  <si>
    <t xml:space="preserve">CONSULT REPORT REFERRED SLIDES          </t>
  </si>
  <si>
    <t>RADIO EXAM SM BOWEL VIA ENTEROCLYSIS TUB</t>
  </si>
  <si>
    <t xml:space="preserve">INSULIN-INDUCED C-PEPTIDE SUPPRES PANEL </t>
  </si>
  <si>
    <t>LIVER FUNCTION RADIOIODINATE SERIAL IMAG</t>
  </si>
  <si>
    <t>TRANSCATH RETR, PERCUT, INTRA FOR BD S&amp;I</t>
  </si>
  <si>
    <t xml:space="preserve">CULTURE,TYPING;ID BY NUCLEIC ACID PROBE </t>
  </si>
  <si>
    <t>FLUORESCENT ANTIBODY;TITER, EA. ANTIBODY</t>
  </si>
  <si>
    <t>ANTIBODY IDENT RBC ANTIB EA PANEL/EA SER</t>
  </si>
  <si>
    <t xml:space="preserve">CALPROTECTIN, FECAL                     </t>
  </si>
  <si>
    <t>INF AGNT-NUCL ACID;BARTNL,QUANTIFICATION</t>
  </si>
  <si>
    <t xml:space="preserve">ALPHA-1-ANTITRYPSIN; TOTAL              </t>
  </si>
  <si>
    <t xml:space="preserve">HEPATIC FUNCTION PANEL                  </t>
  </si>
  <si>
    <t>RADIOPHARMACEUTICAL THER,INTRAVENOUS ADM</t>
  </si>
  <si>
    <t xml:space="preserve">FUNCTIONAL MRI, BRAIN, BY TECH          </t>
  </si>
  <si>
    <t xml:space="preserve">MAMMARY DUCTOGRAM/GALACTOGRAM,SNGL DUCT </t>
  </si>
  <si>
    <t>CULTUR BACT BLOOD,W/ISOLAT&amp;PRESUMP ID IS</t>
  </si>
  <si>
    <t xml:space="preserve">THYROID IMAGE W UPTAKE SING DETERMINE   </t>
  </si>
  <si>
    <t xml:space="preserve">VANILLYLMANDELIC (VMA) URINE            </t>
  </si>
  <si>
    <t>IN AGNT-NUCL ACD;HEPATITIS G,DIR PRO TEC</t>
  </si>
  <si>
    <t xml:space="preserve">ANTIBODY; HEPATITIS, DELTA AGENT        </t>
  </si>
  <si>
    <t xml:space="preserve">FECES CULTUR,BACTER,SALMONELLA/SHIGELLA </t>
  </si>
  <si>
    <t>LIPOPROTEIN,BLD,HI RESOL FRACTION&amp;QUANTI</t>
  </si>
  <si>
    <t xml:space="preserve">JOINT RADIOGRAPHY,MANUAL APPL OF STRESS </t>
  </si>
  <si>
    <t xml:space="preserve">PHENOBARBITAL                           </t>
  </si>
  <si>
    <t>BLOOD COMPAT TEST EA U ANTIGLOBULIN TECH</t>
  </si>
  <si>
    <t xml:space="preserve">FLOW CYTOMETRY,INTERPRET; 16+ MARKERS   </t>
  </si>
  <si>
    <t>VIRUS ISOLATION;INCL ID BY NON-IMMUNO ME</t>
  </si>
  <si>
    <t xml:space="preserve">CARBOYDRATE DEFICIENT TRANSFERRIN       </t>
  </si>
  <si>
    <t xml:space="preserve">URETHROCYST,RETROGRADE SUPER/INTERP     </t>
  </si>
  <si>
    <t xml:space="preserve">ESTRADIOL                               </t>
  </si>
  <si>
    <t>IAA-ENZYME IMMUNO...HEPATITIS,DELTA AGNT</t>
  </si>
  <si>
    <t xml:space="preserve">APOLIPOPROTEIN, EACH                    </t>
  </si>
  <si>
    <t>RADIO EXAM WRIST COMPLETE MIN THREE VIEW</t>
  </si>
  <si>
    <t>PROTEIN, TOTAL,EXCPT REFRACTOMETRY;URINE</t>
  </si>
  <si>
    <t>ANGIOG BRACH RETROGR SUPERVIS/INTREPITAT</t>
  </si>
  <si>
    <t>RADIO EXAM FACIAL BONES LESS THN THREE R</t>
  </si>
  <si>
    <t>VITA B12 ABSORB STDY W W/O INTRINSIC FAC</t>
  </si>
  <si>
    <t>HEMOGLOB/RBCS FETOMATERN HEMORRH DIF LYS</t>
  </si>
  <si>
    <t xml:space="preserve">SODIUM; SERUM                           </t>
  </si>
  <si>
    <t xml:space="preserve">COMPUTED TOMOGRAPHIC ANGIOGRAPH; NECK   </t>
  </si>
  <si>
    <t xml:space="preserve">CADMIUM                                 </t>
  </si>
  <si>
    <t xml:space="preserve">BONE LENGTH STUDIES                     </t>
  </si>
  <si>
    <t>CHROSOME ANALYSIS ADD HIGH RESOLUT STUDY</t>
  </si>
  <si>
    <t xml:space="preserve">ASCORBIC ACID VIT C BLOOD SEE 82011-012 </t>
  </si>
  <si>
    <t xml:space="preserve">PROTEIN TOTAL SERUM REFRACTOMETRIC      </t>
  </si>
  <si>
    <t>CULT,FUNGI,ISOL,W/PRES ID/ISOL SK HAIR N</t>
  </si>
  <si>
    <t xml:space="preserve">LIDOCAINE                               </t>
  </si>
  <si>
    <t>ADENOSINE; 5'MONOPHOS, CYCLIC(CYCLIC AMP</t>
  </si>
  <si>
    <t>INFEC AGNT DET-NUCLEIC ACID;HIV-1,QUANTI</t>
  </si>
  <si>
    <t>IMMUNOASSAY ANALYTE QUAN RADIOPHARM TECH</t>
  </si>
  <si>
    <t xml:space="preserve">HEPATITIS B CORE ANTIBODY(HBCAB);TOTAL  </t>
  </si>
  <si>
    <t>INF AG ANTIG DETC/FLOU AB;CHLAMYDIA TRAC</t>
  </si>
  <si>
    <t xml:space="preserve">SUSCEPT STUD ANTIMICR AGNT DISK METHOD  </t>
  </si>
  <si>
    <t>GASES, BLOOD, ANY COMBINAT OF PH,PC02,PO</t>
  </si>
  <si>
    <t>TUMOR IMAGING; WHOLE BODY, REQUIR 2+DAYS</t>
  </si>
  <si>
    <t>COMPUTER TOMOGR HEAD W/INTERVENOUS CONTR</t>
  </si>
  <si>
    <t>PERITONEAL-VENOUS SHUNT PATENCY TEST(LEV</t>
  </si>
  <si>
    <t xml:space="preserve">CHOLESTEROLD SERUM OR WHOLE BLOOD,TOTAL </t>
  </si>
  <si>
    <t>RADIO EXAM MANDIBLE PART LESS FOUR VIEWS</t>
  </si>
  <si>
    <t>URINALYSIS, DIP STK/TBLT RGNT-BILIR,GLUC</t>
  </si>
  <si>
    <t>RADIO EXAM ELBOW COMP MINIMUM THREE VIEW</t>
  </si>
  <si>
    <t xml:space="preserve">GLUTATHIONE REDUCTASE RBC               </t>
  </si>
  <si>
    <t xml:space="preserve">ANTIBODY; ENCEPHALITIS, EASTERN EQUINE  </t>
  </si>
  <si>
    <t xml:space="preserve">ADRENAL IMAGING CORTEX AND/OR MEDULLA   </t>
  </si>
  <si>
    <t>MRI,BRAIN/OPEN INTRACRAN PROC;W/CON MATR</t>
  </si>
  <si>
    <t xml:space="preserve">FETAL FLU DRAIN(VESICOCENTHESIS..)U-SND </t>
  </si>
  <si>
    <t xml:space="preserve">CALCIFEROL (VITAMIN D)                  </t>
  </si>
  <si>
    <t>RECTAL SENSATION, TONE,&amp; COMPLIANCE TEST</t>
  </si>
  <si>
    <t>MR ANGIO,SPINAL CANAL,W OR W/O CONTR MAT</t>
  </si>
  <si>
    <t xml:space="preserve">NICKEL                                  </t>
  </si>
  <si>
    <t>MAG RESON IMAG,UPPER EXT;W/ CONTRAST MAT</t>
  </si>
  <si>
    <t xml:space="preserve">PROSTAGLANDIN, EACH                     </t>
  </si>
  <si>
    <t>MYELOGRAPHY ENTIRE SPIN/CANAL SUPER/INTE</t>
  </si>
  <si>
    <t xml:space="preserve">NITROBLUE TETRAZOLIUM DYE TEST(NTD)     </t>
  </si>
  <si>
    <t>CARDIAC BLD IMA GATED EQUILIBRIUM MUL ST</t>
  </si>
  <si>
    <t xml:space="preserve">GONADOTROPIN; LUTEINIZING HORMONE (LH)  </t>
  </si>
  <si>
    <t xml:space="preserve">DEHYDROEPIANDROSTERONE-SULFATE (DHEA-S) </t>
  </si>
  <si>
    <t>TRANSABDOMINL AMNIOINFUSION,W/U-SND GUID</t>
  </si>
  <si>
    <t xml:space="preserve">PHOSPHORUS (PHOSPHATE) URINE            </t>
  </si>
  <si>
    <t xml:space="preserve">ENZYME ACT IN BLOOD CELLS-RADIOACTIVE   </t>
  </si>
  <si>
    <t>ACETONE OR OTH KETONE BOD,SERUM;QUALITAT</t>
  </si>
  <si>
    <t>CHROMATOGRAPHY,QUALIT;COL ANAL NOT ELSEW</t>
  </si>
  <si>
    <t>TRANSLUM ATHERECTOMYEA ADD REN/VISCE ART</t>
  </si>
  <si>
    <t>INTRAVAS ULTRAS(NCV)RAD SUPV&amp;INT;INI VES</t>
  </si>
  <si>
    <t>ANGIO CAROTID CERVI UNILAT SUPERVIS/INTR</t>
  </si>
  <si>
    <t>CARDIAC MRI,CONTR MAT&amp;SEQU;W/STRESS IMAG</t>
  </si>
  <si>
    <t>CONSULT DURING SURG EA ADD TISS BLK FROZ</t>
  </si>
  <si>
    <t>MR GUID&amp;MONITOR PARENCHYMAL TIS ABLATION</t>
  </si>
  <si>
    <t xml:space="preserve">HEPATITIS A ANTIBODY(HAAB);IGM ANTIBODY </t>
  </si>
  <si>
    <t xml:space="preserve">COMPUTER TOMOGRAPHY THORAX W CONTRAST   </t>
  </si>
  <si>
    <t xml:space="preserve">METHADONE                               </t>
  </si>
  <si>
    <t xml:space="preserve">PHOSPHATASE ALK BLD HEAT STABLE         </t>
  </si>
  <si>
    <t xml:space="preserve">OSTEOCALCIN (BONE GIA PROTEIN)          </t>
  </si>
  <si>
    <t>VENOGRAPHY SINUS/JUGULAR CATH SUPER/INTE</t>
  </si>
  <si>
    <t xml:space="preserve">SELENIUM                                </t>
  </si>
  <si>
    <t xml:space="preserve">SOMATOSTATIN                            </t>
  </si>
  <si>
    <t>BLD TYP ANTIG SCREEN COMP U PATIENT SERU</t>
  </si>
  <si>
    <t>CT, CERVICAL SPINE;W/O CONTRAST MATERIAL</t>
  </si>
  <si>
    <t xml:space="preserve">PROTHROMBIN TIME SEE ALSO 85618         </t>
  </si>
  <si>
    <t xml:space="preserve">ETIOCHOLANOLONE                         </t>
  </si>
  <si>
    <t>URIN/DIP STK OR TBLT W/MICRO (AUTOMATED)</t>
  </si>
  <si>
    <t>HEPATITIS C ANTIBODY;CONFIRM TST(IMMUNOB</t>
  </si>
  <si>
    <t>THER ENEMA,CONTR/AIR,REDUC INTISSUSC/OTH</t>
  </si>
  <si>
    <t>LECITHIN-SPHINGOMYELIN RATIO/FOAM STABIL</t>
  </si>
  <si>
    <t xml:space="preserve">IV INF,TX,PROPH,DX,ADD'L SEQ INF,TO 1HR </t>
  </si>
  <si>
    <t>TRANSCATH INTROD INTRA STENT PERCUT/OPEN</t>
  </si>
  <si>
    <t>ALBUMIN; URINE, MICROALBUMIN, QUANTITATI</t>
  </si>
  <si>
    <t xml:space="preserve">TOBRAMYCIN                              </t>
  </si>
  <si>
    <t>MOLECULAR DIAG;SEP&amp;ID HI RESOL TECHNIQUE</t>
  </si>
  <si>
    <t xml:space="preserve">HEMOSIDERIN; QUALITATIVE                </t>
  </si>
  <si>
    <t xml:space="preserve">HETEROPHILE ANTIBODIES; SCREENING       </t>
  </si>
  <si>
    <t xml:space="preserve">FAT OR LIPIDS, FECES; QUANTITATIVE      </t>
  </si>
  <si>
    <t xml:space="preserve">MEPROBAMATE                             </t>
  </si>
  <si>
    <t xml:space="preserve">CHROMOGENIC SUBSTRATE ASSAY             </t>
  </si>
  <si>
    <t>RADIOLOGIC EXAM,GI TRACT,UPPER,SM INTEST</t>
  </si>
  <si>
    <t xml:space="preserve">ELECTRON MICROSCOPY SCANNING            </t>
  </si>
  <si>
    <t>VENOG CAVAL INFERIOR W/SERIAL SUPER/INTE</t>
  </si>
  <si>
    <t xml:space="preserve">CLOTTING FACTOR X11                     </t>
  </si>
  <si>
    <t>ANTIBODY; BACTERIUM, NOT ELSEWHERE SPECI</t>
  </si>
  <si>
    <t xml:space="preserve">SMEAR,PRIM SOURCE W/INT;OVA &amp; PARASITES </t>
  </si>
  <si>
    <t xml:space="preserve">LEUKOCYTE PHAGOCYTOSIS                  </t>
  </si>
  <si>
    <t>INSULIN TOLERANCE PANEL GROWTH HORM DEFI</t>
  </si>
  <si>
    <t>I A AG BY IMMUNOFLUORESCENT TECH;GIARDIA</t>
  </si>
  <si>
    <t>IA DET/NUC AC;STAPHYLOCOCCUS AUREUS, AMP</t>
  </si>
  <si>
    <t xml:space="preserve">ANTIBODY; MUMPS                         </t>
  </si>
  <si>
    <t xml:space="preserve">GASTROESOPHAGEAL REFLUX STUDY           </t>
  </si>
  <si>
    <t xml:space="preserve">QUININE                                 </t>
  </si>
  <si>
    <t>MAGNET RESON IMAG SPINAL CERV W/O CONTRA</t>
  </si>
  <si>
    <t xml:space="preserve">PINWORM EXAM (EG,CELLOPHANE TAPE PREP)  </t>
  </si>
  <si>
    <t xml:space="preserve">PHENCYCLIDINE (PCP)                     </t>
  </si>
  <si>
    <t>IA-NU A;GARDNERELA VAGINALIS,DIR PRO TEC</t>
  </si>
  <si>
    <t>DEOXYRIBONUCLEIC ACID(DNA) ANTI;SING STR</t>
  </si>
  <si>
    <t>MRI, ABDOMEN, W/O &amp; W/ CONTRAST MATERIAL</t>
  </si>
  <si>
    <t xml:space="preserve">TESTERONE, TOTAL                        </t>
  </si>
  <si>
    <t xml:space="preserve">CATACHOLAMINES FRACTIONATED             </t>
  </si>
  <si>
    <t xml:space="preserve">NEEDLE ELECTROMYOGRAPHY; LARYNX         </t>
  </si>
  <si>
    <t xml:space="preserve">ALCOHOL ETHANOL BREATH                  </t>
  </si>
  <si>
    <t xml:space="preserve">AMINES, VAGINAL FLUID,QUALITATIVE       </t>
  </si>
  <si>
    <t xml:space="preserve">DEOXYCORTISOL, 11-                      </t>
  </si>
  <si>
    <t xml:space="preserve">HEMOLYSIN, ACID                         </t>
  </si>
  <si>
    <t xml:space="preserve">UNLISTED ULTRASOUND PROCEDURE           </t>
  </si>
  <si>
    <t>VIRUS ISOLATION;TISSUE CULT INOCUL,OBSER</t>
  </si>
  <si>
    <t>DETERMIN HISTOCHEM/CYTOCHEM ID ENZYME EA</t>
  </si>
  <si>
    <t xml:space="preserve">BILIRUBIN-DIRECT                        </t>
  </si>
  <si>
    <t>LACTOGEN,HMN PLCNTL(HPL)HMN CHRNC SOMATO</t>
  </si>
  <si>
    <t>COMPUT TOMO SOFT TISS NECK W/O CONT MEDI</t>
  </si>
  <si>
    <t>GLUCO TOLBUTAMIDE INSUL-83526 LEUC-83681</t>
  </si>
  <si>
    <t>RADIO EXAM GASTRO TRACT UPPER W/WOFLMKUB</t>
  </si>
  <si>
    <t xml:space="preserve">CLOTTING FACTOR V LABILE FACTOR         </t>
  </si>
  <si>
    <t xml:space="preserve">RADIO EXAM SING PLANE BODY SECT NO URO  </t>
  </si>
  <si>
    <t xml:space="preserve">BONE DENSITY STUDY SINGLE PHOTON ABSORP </t>
  </si>
  <si>
    <t>RENAL VEIN RENIN STIMUL PAN (EG, CAPTOPR</t>
  </si>
  <si>
    <t xml:space="preserve">GASTRIN                                 </t>
  </si>
  <si>
    <t xml:space="preserve">PLATELET SURVIVAL STUDY                 </t>
  </si>
  <si>
    <t xml:space="preserve">RADIO EXAM CHEST OBLIQUE PROJECTIONS    </t>
  </si>
  <si>
    <t xml:space="preserve">CYTOPATHOLOGY,EVAL FINE NEEDLE ASPIRATE </t>
  </si>
  <si>
    <t xml:space="preserve">RADIO EXAM KNEE ARTHROG SUPER/INTERP    </t>
  </si>
  <si>
    <t>AMINO ACIDS 2 TO 5 QUANTITATIVE EACH SPE</t>
  </si>
  <si>
    <t>INF AG ANTIG DECT/IMMUNOFL;LEGION MICDAD</t>
  </si>
  <si>
    <t xml:space="preserve">ANTIBODY; HIV-1                         </t>
  </si>
  <si>
    <t xml:space="preserve">TUMOR IMAG,PET;W/CT; CHEST, HEAD/NECK   </t>
  </si>
  <si>
    <t>IN AG-NU AC;MYCOBACTERIA SPC,DIR PRO TEC</t>
  </si>
  <si>
    <t xml:space="preserve">BILIRUBIN;TOTAL                         </t>
  </si>
  <si>
    <t xml:space="preserve">IMMUNE COMPLEX ASSAY                    </t>
  </si>
  <si>
    <t>RADIO EXAM MASTOIDS LESS THREE VIEW PER-</t>
  </si>
  <si>
    <t xml:space="preserve">TRANSLUM ATHERECTOMYEA ADD PERIPHER ART </t>
  </si>
  <si>
    <t>UROGRAPHY INFUS,DRIP,TECH W/NEPHROTOMOGR</t>
  </si>
  <si>
    <t xml:space="preserve">INSERT UTER TANDEM/VAG OVOID,BRACHTHRPY </t>
  </si>
  <si>
    <t>CT,MAXILLOFACIAL AREA;W/O&amp;W/CONTR MATR'L</t>
  </si>
  <si>
    <t xml:space="preserve">CLOTTING FACTOR X111                    </t>
  </si>
  <si>
    <t>MRI,SPINAL CAN,W/O &amp; W/CONTR MAT,THORACI</t>
  </si>
  <si>
    <t>DETERMIN HISTOCHEM IDENT CHEMICAL COMPON</t>
  </si>
  <si>
    <t xml:space="preserve">MANGANESE                               </t>
  </si>
  <si>
    <t xml:space="preserve">CHEM LACTATE                            </t>
  </si>
  <si>
    <t>CT, UPPER EXTRIMITY;W/O &amp; W/CONTRST MATR</t>
  </si>
  <si>
    <t xml:space="preserve">ELECTRON MICROSCOPY DIAGNOSTIC          </t>
  </si>
  <si>
    <t xml:space="preserve">LEV II SUR PATH GROSS &amp; MICRO EXAM      </t>
  </si>
  <si>
    <t>INF AGNT-NUCLC ACID;BAR,DIRCT PROBE TECH</t>
  </si>
  <si>
    <t xml:space="preserve">MONONUCLEAR CELL ANTIGEN,QUANTITIVE, EA </t>
  </si>
  <si>
    <t xml:space="preserve">ALDOSTERONE                             </t>
  </si>
  <si>
    <t xml:space="preserve">SWALLOW FUNCTN,W/CINER/VIDEORADIOGRAPHY </t>
  </si>
  <si>
    <t xml:space="preserve">U-SND,OBSTETRIC,NUCHAL MEAS,ADD'L GEST  </t>
  </si>
  <si>
    <t>ANTIHUMAN GLOB TEST;INDIRECT,EA ANTISERM</t>
  </si>
  <si>
    <t xml:space="preserve">CT,ABDOMEN/ W/O CONTRAST MATERIAL       </t>
  </si>
  <si>
    <t>CULTURE,TYPING;ID BY PULSE FIELD GEL TYP</t>
  </si>
  <si>
    <t xml:space="preserve">ESOPHAGUS,AC REF TST;W/MUCOSAL ATACH PH </t>
  </si>
  <si>
    <t xml:space="preserve">DIBUCAINE NUMBER                        </t>
  </si>
  <si>
    <t xml:space="preserve">PROSTATE SPECIFIC ANTIGEN (PSA) TOTAL   </t>
  </si>
  <si>
    <t xml:space="preserve">THROMBIN TIME PLASMA                    </t>
  </si>
  <si>
    <t xml:space="preserve">LIPASE                                  </t>
  </si>
  <si>
    <t>SPECIAL STAINS HISTOCHEM STAIN W FROZ SE</t>
  </si>
  <si>
    <t xml:space="preserve">ANTIBODY; NOCARDIA                      </t>
  </si>
  <si>
    <t xml:space="preserve">THYROID CA METAST IMAGING WHOLE BODY    </t>
  </si>
  <si>
    <t xml:space="preserve">ISOCITRIC DEHYDROGENASE (IDH)           </t>
  </si>
  <si>
    <t>OPHTHAL ULTRPSO ECHO A-MODE AMPLIT QUANT</t>
  </si>
  <si>
    <t>IAA-ENZY IMUNOA...RESPIRATRY SYNCTIA VIR</t>
  </si>
  <si>
    <t xml:space="preserve">ANTIBODY; BRUCELLA                      </t>
  </si>
  <si>
    <t xml:space="preserve">QUINIDINE                               </t>
  </si>
  <si>
    <t>G0130</t>
  </si>
  <si>
    <t>SINGLE ENERGY X-RAY ABSRPTMTRY  BONE STD</t>
  </si>
  <si>
    <t>IMMUNOFLOUR STUDY,ECH ANTIBODY,INDIR MTH</t>
  </si>
  <si>
    <t xml:space="preserve">CONCENTRATION(ANY TYPE)INFECTIOUS AGENT </t>
  </si>
  <si>
    <t>RED CELL VOL DETERMIN(SP) MULTI SAMPLING</t>
  </si>
  <si>
    <t xml:space="preserve">GAMMAGLOGLOBULIN; IGA,IGD,IGG,IGM EACH  </t>
  </si>
  <si>
    <t>ANGIO ADRENAL UNILAT SELECT SUPERVIS/INT</t>
  </si>
  <si>
    <t>CYTOPATHOLOGY, CELLULAR ENHANCEMENT TECH</t>
  </si>
  <si>
    <t xml:space="preserve">ANTIBODY; MUCORMYCOSIS                  </t>
  </si>
  <si>
    <t xml:space="preserve">ANTIBODY; WEST NILE VIRUS               </t>
  </si>
  <si>
    <t xml:space="preserve">BILE ACIDS;TOTAL                        </t>
  </si>
  <si>
    <t>LACTATE DEHYDRO(LD)(LDH)ISOENZ,SEPR&amp;QUAN</t>
  </si>
  <si>
    <t>GASTRIC INTUB ASPIR FRACT COL 3 HRS STIM</t>
  </si>
  <si>
    <t xml:space="preserve">OSMOLALITY URINE                        </t>
  </si>
  <si>
    <t xml:space="preserve">TISSUE CULT CHROSOME ANALYS FLUID-VILLI </t>
  </si>
  <si>
    <t xml:space="preserve">CHROMIUM                                </t>
  </si>
  <si>
    <t xml:space="preserve">BONE AND/OR JOINT IMAG;LIMITED AREA     </t>
  </si>
  <si>
    <t xml:space="preserve">ANTIBODY; HTLV-II                       </t>
  </si>
  <si>
    <t xml:space="preserve">ALPHA-FETOPROTEIN; AMNIOTIC FLUID       </t>
  </si>
  <si>
    <t>INTRODUC TUBE(MILLER-ABBOTT W/FLUOR/FILM</t>
  </si>
  <si>
    <t>CULTURE, BACTERIAL;AEROBIC ISOLATE,ADDIT</t>
  </si>
  <si>
    <t xml:space="preserve">ESTRONE                                 </t>
  </si>
  <si>
    <t>RADIO EXAM TEMPOROMAN JOIN OPN/CLO UNILA</t>
  </si>
  <si>
    <t xml:space="preserve">UNLISTED HEMATOLOGY PROCEDURE           </t>
  </si>
  <si>
    <t>ULTRASOUND,PG UTERUS &lt;14 WKS, SNGL FETUS</t>
  </si>
  <si>
    <t xml:space="preserve">GASES BLOOD PH ONLY                     </t>
  </si>
  <si>
    <t>TOCOPHEROL ALPHA (VIT E) SEE 82951-82952</t>
  </si>
  <si>
    <t xml:space="preserve">MAGNESIUM                               </t>
  </si>
  <si>
    <t xml:space="preserve">LACTATE DEHYDROGENASE (LD), (LDH)       </t>
  </si>
  <si>
    <t>DRUG SCREEN(SING DRUG CLASS,EA DRUG CLS)</t>
  </si>
  <si>
    <t>SMEAR,PRIM SOURC W/INTERP;FLU/ACID STAIN</t>
  </si>
  <si>
    <t>IAA/ENZY IMUNOA,QLT-SEMI,MS;ADEN EN40/41</t>
  </si>
  <si>
    <t xml:space="preserve">ANGIOTENSIN II                          </t>
  </si>
  <si>
    <t xml:space="preserve">GLUTAMATE DEHYDROGENASE                 </t>
  </si>
  <si>
    <t>INF AG ANTIG DEC/ENZYME;HEPATITIS B SURF</t>
  </si>
  <si>
    <t>STREPTOKINASE ANTIBODY 86060-61 86008-09</t>
  </si>
  <si>
    <t>RADIO EXAM ACROMIOCLAV JOI BILAT W/WO WT</t>
  </si>
  <si>
    <t xml:space="preserve">RADIO EXAM OPTIC FORAMINIA              </t>
  </si>
  <si>
    <t xml:space="preserve">UNLISTED URINALYSIS PROCEDURE           </t>
  </si>
  <si>
    <t>RADIO EXAM LOWER EXTREMITY INFANT MINI 2</t>
  </si>
  <si>
    <t xml:space="preserve">CLOTTING FACTOR V111 ONE STAGE          </t>
  </si>
  <si>
    <t xml:space="preserve">TUMOR LOCALIZATION MULTIPLE AREAS       </t>
  </si>
  <si>
    <t>IMMUNODIFFUSION GEL QUALIT EA ANTI-ANTIB</t>
  </si>
  <si>
    <t>CYTOPATH,CERV/VAG REQ INTR PHYS(LIST SEP</t>
  </si>
  <si>
    <t>INF AGNT-NUC ACD;HEPATITIS G,AMP PRO TEC</t>
  </si>
  <si>
    <t xml:space="preserve">VERY LONG CHAIN FATTY ACIDS             </t>
  </si>
  <si>
    <t xml:space="preserve">SKIN TEST TUBERCULOSIS IN TRADERMAL     </t>
  </si>
  <si>
    <t xml:space="preserve">HEPARIN ASSAY                           </t>
  </si>
  <si>
    <t xml:space="preserve">UNLISTED TRANSFUSION MEDICINE PROCEDURE </t>
  </si>
  <si>
    <t xml:space="preserve">METANEPHRINES                           </t>
  </si>
  <si>
    <t xml:space="preserve">CHROSOME ANALYSIS CT 5 CELL 1 KAROTYPE  </t>
  </si>
  <si>
    <t xml:space="preserve">ALDOSTERONE SUPPRESSION EVAL PANEL      </t>
  </si>
  <si>
    <t xml:space="preserve">PARATHORMONE (PARATHYROID HORMONE)      </t>
  </si>
  <si>
    <t xml:space="preserve">SALIVARY GLAND IMAGING STATIC           </t>
  </si>
  <si>
    <t xml:space="preserve">INF AGNT ANTG-ENZYME IMUN...NOS/EACH    </t>
  </si>
  <si>
    <t xml:space="preserve">AMNIOCENT;THERAP AMNIO FLUID REDUCT     </t>
  </si>
  <si>
    <t xml:space="preserve">CLOTTING FACTOR X111 SCREEN SOLUBILITY  </t>
  </si>
  <si>
    <t xml:space="preserve">CULTURE MYCOPLASMA ANY SOURCE           </t>
  </si>
  <si>
    <t>IA-NUC ACD;MYCOPLASM PNEUMONIAE,AMP PROB</t>
  </si>
  <si>
    <t xml:space="preserve">RIBOFLAVIN VIT B-2 SE82011 99070 89100  </t>
  </si>
  <si>
    <t xml:space="preserve">PORPHYRINS, FECES; QUALITATIVE          </t>
  </si>
  <si>
    <t>SUSCEP STU,ANTIMICRO AG;MYCOBAC,PROPO,EA</t>
  </si>
  <si>
    <t>CULTURE FUNGI,DEFIN ID EA ORGANISM YEAST</t>
  </si>
  <si>
    <t xml:space="preserve">CARDIAC BLD POOL IMAGE W/WO QUANT PROC  </t>
  </si>
  <si>
    <t xml:space="preserve">PROGESTERONE                            </t>
  </si>
  <si>
    <t xml:space="preserve">MEAT FIBERS FECES                       </t>
  </si>
  <si>
    <t xml:space="preserve">ANTIBODY; RESPIRATORY SYNCYTIAL VIRUS   </t>
  </si>
  <si>
    <t xml:space="preserve">VITAMIN A                               </t>
  </si>
  <si>
    <t xml:space="preserve">ANTIBODY; DIPTHERIA                     </t>
  </si>
  <si>
    <t>ULTRASONIC GUID PERICARDIOCENTE IMAG S&amp;I</t>
  </si>
  <si>
    <t>NEPHELOMETRY,EA ANALYTE NOT ELSEWH SPECI</t>
  </si>
  <si>
    <t>AMINO ACIDS;MULTIPLE;QUALITATIVE,EA SPEC</t>
  </si>
  <si>
    <t xml:space="preserve">MACROSCOPIC EXAMINATION; ARTHROPOD      </t>
  </si>
  <si>
    <t xml:space="preserve">ANGIOTENSIN I-CONVERTING ENZYME (ACE)   </t>
  </si>
  <si>
    <t xml:space="preserve">X RAY EXAM CALCANEUS MINIMUM TWO VIEWS  </t>
  </si>
  <si>
    <t xml:space="preserve">COMPREHENSIVE METABOLIC PANEL           </t>
  </si>
  <si>
    <t xml:space="preserve">ACYLCANITINE QUANT EACH SPECIMEN        </t>
  </si>
  <si>
    <t xml:space="preserve">RADIO EXAM HIP UNILATERAL ONE VIEW      </t>
  </si>
  <si>
    <t>COMPUTER DIAG MAMMOGRAPHY,FURTHER REVIEW</t>
  </si>
  <si>
    <t>ULTRASND,RETROPERITONEAL,B-SCAN;COMPLETE</t>
  </si>
  <si>
    <t>PLACE PROX/DIST EXT PROSTH-ENDOVAS REPAI</t>
  </si>
  <si>
    <t xml:space="preserve">RADIO EXAM GI HIGH BARIU W/WO W/KUB     </t>
  </si>
  <si>
    <t xml:space="preserve">ANTIBODY; LEISHMANIA                    </t>
  </si>
  <si>
    <t xml:space="preserve">ANTIBODY;EHRLICHIA                      </t>
  </si>
  <si>
    <t>INF AGNT-NUCLEIC ACID;HEPATI B VIR,QUANT</t>
  </si>
  <si>
    <t>HEMOLYSINS&amp;AGGLUTININS,AUTO,SCRN,EA,INCU</t>
  </si>
  <si>
    <t xml:space="preserve">FIBRINOLYTIC MECHANISMS PLASMINOGEN     </t>
  </si>
  <si>
    <t xml:space="preserve">DEOXYRIBONUCLEASE ANTIBODY              </t>
  </si>
  <si>
    <t>PULMONARY VENT IMAGING AEROSOL SING PROJ</t>
  </si>
  <si>
    <t>ALBUMIN,URINE,MICROALBUMIN,SEMIQUANTITAT</t>
  </si>
  <si>
    <t xml:space="preserve">CARBAMAZEPINE;TOTAL                     </t>
  </si>
  <si>
    <t xml:space="preserve">PERITONEOGRAM RADIOLOGICAL SUP &amp; INTERP </t>
  </si>
  <si>
    <t xml:space="preserve">MR GUID FOR NEEDLE PLACEMENT,RAD S &amp; I  </t>
  </si>
  <si>
    <t xml:space="preserve">IMMUNOELECTROPHORESIS, SERUM            </t>
  </si>
  <si>
    <t xml:space="preserve">INF AG ANTIG DET/FLOU AB;LEGION PNEUMOP </t>
  </si>
  <si>
    <t>RADILOLG EXAM SPINE THORACOLUMBAR 2VIEWS</t>
  </si>
  <si>
    <t>PULMONARY QUINITATIVE DIFF FUNCTION STUD</t>
  </si>
  <si>
    <t>CYROGLOBULIN QUALITATIVE/SEMI-QUANTITATI</t>
  </si>
  <si>
    <t>INF AGNT ANTIG BY ENZYM IMUNOASAY..HIV-2</t>
  </si>
  <si>
    <t xml:space="preserve">BENZOIDIAZEPINES                        </t>
  </si>
  <si>
    <t xml:space="preserve">SALIVARY GLAND FUNCTION STUDY           </t>
  </si>
  <si>
    <t>ULTRASND,BREAST,B-SCAN&amp;/OR REAL TIM W/IM</t>
  </si>
  <si>
    <t>BLOOD CT;RETICULOCYTES,HEMOGLOBIN CONCEN</t>
  </si>
  <si>
    <t>BLOOD COUNT,W/DIFF  WBC COUNT,HEMOGLOBIN</t>
  </si>
  <si>
    <t xml:space="preserve">INF AGNT DET NUC ACD,NOS,QUANTI,EACH    </t>
  </si>
  <si>
    <t xml:space="preserve">MYELOGRAPHY POST FOSSA SUPER/INTERP     </t>
  </si>
  <si>
    <t xml:space="preserve">HEMOGLOBIN F(FETAL),QUALITATIVE         </t>
  </si>
  <si>
    <t xml:space="preserve">MORPHOMETRIC ANALYSIS SKELETAL MUSCLE   </t>
  </si>
  <si>
    <t xml:space="preserve">RADIOLOGIC EXAM FOOT; 2 VIEWS           </t>
  </si>
  <si>
    <t xml:space="preserve">CLOTTING PREKALLIKREIN ASSAY(FLETCHER)  </t>
  </si>
  <si>
    <t>CHROMATOGRAP,QUALIT;T;PAPER,1-DIM,ANAL N</t>
  </si>
  <si>
    <t xml:space="preserve">ANTIBODY IDENT LEUKOCYTE ANTIBODIES     </t>
  </si>
  <si>
    <t>PLASMA VOL RADIOPHAR VOL-DIL SEP PROC SG</t>
  </si>
  <si>
    <t>GLUCAGON TOLERANCE PANEL; PHEOCHROMOCYTO</t>
  </si>
  <si>
    <t xml:space="preserve">ANTIBODY; LEPTOSPIRA                    </t>
  </si>
  <si>
    <t>PROTEIN,TOTAL,EXCPT REFRACTOMETRY; OTHER</t>
  </si>
  <si>
    <t>ECHOENCEPH B-MOD(GRAY SCAL) COMP INCLU..</t>
  </si>
  <si>
    <t xml:space="preserve">COMB ENDO CATH BILIARY &amp; PANC DUCT S&amp;I  </t>
  </si>
  <si>
    <t>CT,THORAX,W/O&amp;W/CONTR MATR'L&amp;FURTHER SEC</t>
  </si>
  <si>
    <t>CEREBROSPINAL FLUID FLOW IMAG; TOMOGRAPH</t>
  </si>
  <si>
    <t>PARTICLE AGGLUTINATION, TITER,EA ANTIBDY</t>
  </si>
  <si>
    <t xml:space="preserve">CRYOFIBRINOGEN                          </t>
  </si>
  <si>
    <t xml:space="preserve">INFEC AGNT GENOTYP,DNA/RNA;HEP C VIRUS  </t>
  </si>
  <si>
    <t xml:space="preserve">HEPARIN NEUTRALIZATION                  </t>
  </si>
  <si>
    <t>CULT BACTER QUANTITAT COLONY COUNT URINE</t>
  </si>
  <si>
    <t xml:space="preserve">ALDOLASE                                </t>
  </si>
  <si>
    <t xml:space="preserve">ANTIBODY; HERPES SIMPLEX, TYPE I        </t>
  </si>
  <si>
    <t xml:space="preserve">VOLATILES                               </t>
  </si>
  <si>
    <t xml:space="preserve">PERCUT VERTEBROPLASTY,FLUOROSCOPIC GUID </t>
  </si>
  <si>
    <t>ANTIBODY; ENCEPHALITIS, CALIF (LA CROSSE</t>
  </si>
  <si>
    <t>RADIO EXAM SACVOILIAC JOINTS THREE/MOORE</t>
  </si>
  <si>
    <t>IMMUNOCYTOCHEMISTRY(INC TISS) EA ANTIBOD</t>
  </si>
  <si>
    <t>OPHTHAL ULTRA,ECHO,DIAG;ANT SEG ULTR,IMM</t>
  </si>
  <si>
    <t>BLOOD SMEAR PERIPHERAL INTERP MDW/REPORT</t>
  </si>
  <si>
    <t xml:space="preserve">INF AGNT ANTG-ENZ IMU;SING STP-NOS/EACH </t>
  </si>
  <si>
    <t>SEDIMENTATION RATE,ERYTHROCYTE;NON-AUTOM</t>
  </si>
  <si>
    <t xml:space="preserve">CT, MAXILLOFACIAL;W/O CONTRAST MATERIAL </t>
  </si>
  <si>
    <t>TISSUE IN SITU HYBRIDIZATION INTERP REPO</t>
  </si>
  <si>
    <t xml:space="preserve">METHEMALBUMIN                           </t>
  </si>
  <si>
    <t xml:space="preserve">GAMMAGLOBULIN; IGE                      </t>
  </si>
  <si>
    <t xml:space="preserve">CISTERNOGRAPHY POSIT CONTR SUPER/INT    </t>
  </si>
  <si>
    <t xml:space="preserve">RADIO EXAM SALIVARY GLAND FOR CALCULUS  </t>
  </si>
  <si>
    <t>CULT BACTER W/ISOL&amp;PRESUMPT ID/ISOL URIN</t>
  </si>
  <si>
    <t>MAG RES IMAG ANY JOINT UP EXT;W/O CON MA</t>
  </si>
  <si>
    <t xml:space="preserve">URIC ACID; OTHER SOURCE                 </t>
  </si>
  <si>
    <t xml:space="preserve">MOLECULAR DIAGNOSTICS,RNA STABILIZATION </t>
  </si>
  <si>
    <t xml:space="preserve">RADIOLOGIC EXAM,OSSEOUS SURVEY,COMPLETE </t>
  </si>
  <si>
    <t xml:space="preserve">RADIO EXAM TEETH COMPLETE FULL MOUTH    </t>
  </si>
  <si>
    <t xml:space="preserve">GASTRIC MUCOSA IMAGING                  </t>
  </si>
  <si>
    <t>INF AG ANTIG-ENZY IMUN...CYTOMEGALOVIRUS</t>
  </si>
  <si>
    <t>AORTOGPHY, ABDOM, BY SERIALOGRPHY SUP&amp;IN</t>
  </si>
  <si>
    <t>CAFFEINE HALOTHANE CONTRACTURE TST,INT&amp;R</t>
  </si>
  <si>
    <t xml:space="preserve">PORPHOBILINOGEN URINE QUANTITATIVE      </t>
  </si>
  <si>
    <t xml:space="preserve">ANTIBODY; WEST NILE VIRUS, IGM          </t>
  </si>
  <si>
    <t>ENDO CATH OF PANCREA DUCT SYSTEM SUP&amp;INT</t>
  </si>
  <si>
    <t xml:space="preserve">HEMOGLOBIN; GLYCOSYLATED (A1C)          </t>
  </si>
  <si>
    <t xml:space="preserve">BRAIN IMAG (PET) METABOLIC EVALUATION   </t>
  </si>
  <si>
    <t xml:space="preserve">INSULIN ANTIBODIES                      </t>
  </si>
  <si>
    <t xml:space="preserve">X-RAY EXAM SERIES, ABDOMEN              </t>
  </si>
  <si>
    <t>CT ORBIT/EAR/FOSSA;W/O CONTRAST MATERIAL</t>
  </si>
  <si>
    <t xml:space="preserve">SULFATE, URINE                          </t>
  </si>
  <si>
    <t>RADIO EXAM SPINE CERVI COMP OBLIQ FLEX/E</t>
  </si>
  <si>
    <t xml:space="preserve">FLUROSCOP MD TIME MORE THAN 1 HR ASSIST </t>
  </si>
  <si>
    <t xml:space="preserve">MRI,BRAIN/OPN INTRACRAN PROC,W/O&amp;W/CONT </t>
  </si>
  <si>
    <t xml:space="preserve">BONE/JOINT IMAGI BY 3 PHASE STUDY       </t>
  </si>
  <si>
    <t xml:space="preserve">SPECIAL STAINS GROUP II ALL OTHER EACH  </t>
  </si>
  <si>
    <t>UROGRAPHY(PYELOG),INTRA W/WO KUB,TOMOGRA</t>
  </si>
  <si>
    <t>CT GUID,PLACE OF RADIATION THERAP FIELDS</t>
  </si>
  <si>
    <t>TISSUE TYP LYMPHICYTE CULTURE PRIMED (PL</t>
  </si>
  <si>
    <t>HELICOBACTER PYLORI;ANALY UREASE ACTIVIT</t>
  </si>
  <si>
    <t xml:space="preserve">LEUCINE AMINOPEPTIDASE (LAP)            </t>
  </si>
  <si>
    <t>AORTOG THORAC SERIALOG SUPERVIS/INTERPRE</t>
  </si>
  <si>
    <t>INFE AGNT-NUCLEIC ACID;HIV-2,AMP PRO TEC</t>
  </si>
  <si>
    <t xml:space="preserve">ESTROGENS FRACTIONATED                  </t>
  </si>
  <si>
    <t>COMPUTER TOMOG ABDOMEN W/INTRAVEN CONTRA</t>
  </si>
  <si>
    <t>RUSSELL VIPER VENOM TIM(INCL VEN);UNDILU</t>
  </si>
  <si>
    <t xml:space="preserve">CARBON DIOXIDE (BICARBONATE)            </t>
  </si>
  <si>
    <t>CULTURE,BACTERIAL;STOOL,ADD PATHOGENS/EA</t>
  </si>
  <si>
    <t xml:space="preserve">CORTISOL; FREE                          </t>
  </si>
  <si>
    <t xml:space="preserve">URANALY,BACTUR SCRN, EXP CULTURE/DIPS   </t>
  </si>
  <si>
    <t>IMMUNOASSAY INF ANTIBDY QUAL/SEMIQUAM SG</t>
  </si>
  <si>
    <t>ECHO PELVIC(NON-OB)B-SCAN RT LIM/FOLLOW-</t>
  </si>
  <si>
    <t>ULTRASOUND BONE DENSITY MEAS/INTER   ANY</t>
  </si>
  <si>
    <t>CT, SOFT TISSUE NECK;W/O CONTRAST MATERL</t>
  </si>
  <si>
    <t xml:space="preserve">HEINZ BODIES DIRECT                     </t>
  </si>
  <si>
    <t xml:space="preserve">IMMUNODIFFUSION, NOTELSEWHERE SPECIFIED </t>
  </si>
  <si>
    <t xml:space="preserve">HALOPERIDOL                             </t>
  </si>
  <si>
    <t xml:space="preserve">VENOG ADRENAL UNILAT SELECT SUPERVI/INT </t>
  </si>
  <si>
    <t>PERCUTAN TRANSHEPAT PORT W/O HEMODY SUPE</t>
  </si>
  <si>
    <t>GLUCOSE;QUANTITA BLOOD EXCP REAGNT STRIP</t>
  </si>
  <si>
    <t>INF AGNT ANTIG BY ENZYME IMUNOAS...HIV-1</t>
  </si>
  <si>
    <t xml:space="preserve">SILICA                                  </t>
  </si>
  <si>
    <t>CALCULUS(STONE);QUANTITATIVE ANAL,CHEMIC</t>
  </si>
  <si>
    <t>INF AG ANTIG DECT/ENZYME;SHIGA-LIKE TOXI</t>
  </si>
  <si>
    <t>INF AGNT-NUCL ACD;HERP VIR-6,AMP PRO TEC</t>
  </si>
  <si>
    <t xml:space="preserve">ORGANIC ACIDS;TOTAL,QUANTITAT EA SPECIM </t>
  </si>
  <si>
    <t>MOLEC DIAG, AMP, BEYOND 2 NUCLC ACID SEQ</t>
  </si>
  <si>
    <t xml:space="preserve">MACROSCOPIC EXAMINATION; PARASITE       </t>
  </si>
  <si>
    <t xml:space="preserve">RADIO EXAM RIBS BILAT MIN THREE VIEWS   </t>
  </si>
  <si>
    <t xml:space="preserve">BRAIN IMAGING, MIN 4 VIEWS W/VASC FLOW  </t>
  </si>
  <si>
    <t xml:space="preserve">UROGRAPHY RETROGRADE W/WO KUB           </t>
  </si>
  <si>
    <t xml:space="preserve">BONE IMAGING BY THREE PHASE TECHNIQUE   </t>
  </si>
  <si>
    <t>X-RAY EXAM GI HI BARIUM W/WO GLU W/WO KU</t>
  </si>
  <si>
    <t>VENOG ADRENAL BILAT SELECT SUPERVIS/INTE</t>
  </si>
  <si>
    <t>INF AGNT-IMMUNOASSY/RESPIR SYNCYTIAL VIR</t>
  </si>
  <si>
    <t xml:space="preserve">GALACTOSE                               </t>
  </si>
  <si>
    <t>INFECT AGT DRUG SUSPECT PHENOTY PREDICTN</t>
  </si>
  <si>
    <t>IMMUNOASSAY-TUMOR ANTIGEN,QUANT; CA 19-9</t>
  </si>
  <si>
    <t xml:space="preserve">GLUCOSE POST GLUCOSEDOSE (INC GLUCOSE)  </t>
  </si>
  <si>
    <t xml:space="preserve">SYPHILIS TEST QUANTITATIVE              </t>
  </si>
  <si>
    <t>CORTICOTROPIC RELEASING HORMONE STIM PAN</t>
  </si>
  <si>
    <t>QUANTITATION OF DRUG,NOT SPECIFD ELSWHER</t>
  </si>
  <si>
    <t xml:space="preserve">COAGULATION TIME LEE AND WHITE          </t>
  </si>
  <si>
    <t>G0204</t>
  </si>
  <si>
    <t>DIAG MAMOGRPHY,DIRECT DIGITAL IMG,BILATR</t>
  </si>
  <si>
    <t>INF AGNT-NUCLEIC ACID;NOS,DIR PROBE/EACH</t>
  </si>
  <si>
    <t xml:space="preserve">MUCOPOLYSACCHARIDES ACID URINE SCREEN   </t>
  </si>
  <si>
    <t xml:space="preserve">ANTIBODY; ADENOVIRUS                    </t>
  </si>
  <si>
    <t>ULTRASON GUID INTRA FETAL TR/CORDOCE S&amp;I</t>
  </si>
  <si>
    <t>TRYPSIN; FECES, QUANTITATIVE,24-HR COLLE</t>
  </si>
  <si>
    <t>ULTRASND,INFANT HIP,IMAGING;LIMIT STATIC</t>
  </si>
  <si>
    <t>RADIOPHARM THER,INTRA-ARTERL PARTICUL AD</t>
  </si>
  <si>
    <t xml:space="preserve">IMUNOAS/TUMOR ANTIGEN;OTHER,QUANTIT,EA  </t>
  </si>
  <si>
    <t>RUSSELL VIPER VENOM TIME(INCL VEN);DILUT</t>
  </si>
  <si>
    <t xml:space="preserve">FIBRINOGEN; ACTIVITY                    </t>
  </si>
  <si>
    <t xml:space="preserve">GLUTATHIONE                             </t>
  </si>
  <si>
    <t xml:space="preserve">UNLISTED CHEMISTRY PROCEDURE            </t>
  </si>
  <si>
    <t>CARDIAC MRI,CONTRAST MATR&amp;SEQU;W/FLO/VEL</t>
  </si>
  <si>
    <t xml:space="preserve">NUCLEOTIDASE 5                          </t>
  </si>
  <si>
    <t>DOPPLER VELOCIMETRY,FETAL;UMBILICAL ARTE</t>
  </si>
  <si>
    <t xml:space="preserve">FUNCTIONAL MRI, BRAIN, BY PHYS/PSYCH    </t>
  </si>
  <si>
    <t xml:space="preserve">ULTRASND,ABDOM,B-SCAN/REAL TIME,LIMITED </t>
  </si>
  <si>
    <t xml:space="preserve">IV INF,TX,PROPH,DX;EA ADD'L HOUR        </t>
  </si>
  <si>
    <t>RADIO EXAM TEMPOROMAN JOIN OPN/CLO BILAT</t>
  </si>
  <si>
    <t>INF AGT NUC AC ;HERPES VIR-6,DIR PRO TEC</t>
  </si>
  <si>
    <t>PROTEIN;WEST BLOT W/INTERP/RPT IMMUNO PR</t>
  </si>
  <si>
    <t xml:space="preserve">CYCLOSPORINE                            </t>
  </si>
  <si>
    <t xml:space="preserve">ESOPHAGEAL BALLON DIST PROVACATION STDY </t>
  </si>
  <si>
    <t>CARDIAC MRI FOLLOW CONTRAST MATR&amp;SEQUENC</t>
  </si>
  <si>
    <t>ANGIO PELVIC SELECT/SUPRASELECT SUPERVIS</t>
  </si>
  <si>
    <t>HEMOGLOBIN-OXY AFFINITY(PO2 FOR 50% HEMO</t>
  </si>
  <si>
    <t xml:space="preserve">UNLISTED SURGICAL PATHOLOGY             </t>
  </si>
  <si>
    <t xml:space="preserve">BASIC METABOLIC PANEL                   </t>
  </si>
  <si>
    <t xml:space="preserve">THYROID UPTAKE SINGLE DETERMINATION     </t>
  </si>
  <si>
    <t>HEMOGLOBIN; ELECTROPHORESIS(EG, A2,S, C)</t>
  </si>
  <si>
    <t>IA DNA;STAPH,METHICILLIN RESIS,AMP PROBE</t>
  </si>
  <si>
    <t xml:space="preserve">KIDNEY IMAGING STATIC W/VASCULAR FLOW   </t>
  </si>
  <si>
    <t xml:space="preserve">THYROID IMAGING ONLY                    </t>
  </si>
  <si>
    <t xml:space="preserve">AMINOLEVULINIC ACID DELTA ALA           </t>
  </si>
  <si>
    <t>SPECTROPHOTOMETRY, ANALYTE NOT ELSEW SPE</t>
  </si>
  <si>
    <t xml:space="preserve">RADIO EXAM SACRUM COCCYX MIN TWO VIEWS  </t>
  </si>
  <si>
    <t xml:space="preserve">PHOSPHATIDYLGLYCEROL                    </t>
  </si>
  <si>
    <t>RADIOLOGIC EXAM RIBIA AND FIBULA 2 VIEWS</t>
  </si>
  <si>
    <t xml:space="preserve">URIC ACID; BLOOD                        </t>
  </si>
  <si>
    <t xml:space="preserve">ANDROSTENEDIONE                         </t>
  </si>
  <si>
    <t xml:space="preserve">ANTIBODY; SHINGELLA                     </t>
  </si>
  <si>
    <t xml:space="preserve">ACUTE HEPATITIS PANEL                   </t>
  </si>
  <si>
    <t xml:space="preserve">BRADYKININ                              </t>
  </si>
  <si>
    <t xml:space="preserve">SEROTONIN                               </t>
  </si>
  <si>
    <t>ULTRASONIC GUID NEEDL PLACE,IMAG SUP&amp;INT</t>
  </si>
  <si>
    <t>RADIOLOG EXAM,ABSC,FISTU SINU TRA ST S&amp;I</t>
  </si>
  <si>
    <t xml:space="preserve">VITAMIN, NOT OTHERWISE SPECIFIED        </t>
  </si>
  <si>
    <t xml:space="preserve">CHEM LIPIDS BLOOD TOTAL                 </t>
  </si>
  <si>
    <t xml:space="preserve">JOINT SURVEY, SINGLE VIEW, 2+ JOINTS    </t>
  </si>
  <si>
    <t>INF AG PHENO ANAL/NUC AC;EA.ADD DRUG,TO5</t>
  </si>
  <si>
    <t xml:space="preserve">VASOACTIVE INTESTINAL PEPTIDE (VIP)     </t>
  </si>
  <si>
    <t xml:space="preserve">LITHIUM                                 </t>
  </si>
  <si>
    <t>ULTRASND,ABDO,B-SCAN,IMAGE DOCU,COMPLETE</t>
  </si>
  <si>
    <t xml:space="preserve">PHOSPHATASE, ALKALINE                   </t>
  </si>
  <si>
    <t>IA-NUC ACD;MYCOBAC AVIUM-INTRACELR,QUANT</t>
  </si>
  <si>
    <t xml:space="preserve">SALIVARY GLAND IMAGING W SERIAL VIEWS   </t>
  </si>
  <si>
    <t>IA-NUCL ACD;CYTOMEGALOVIRUS,AMP PROB TEC</t>
  </si>
  <si>
    <t xml:space="preserve">BLOOD COMPAT TEST EA U IMMED SPIN TECH  </t>
  </si>
  <si>
    <t>MYOC PERF IMA MUL-ST(PLAN)RST-ST W/WO QN</t>
  </si>
  <si>
    <t>VENOUS THROMBOSIS IMAGING(VENOGRAM)BILAT</t>
  </si>
  <si>
    <t xml:space="preserve">AMPHETAMINE OR METHAMPHETAMINE          </t>
  </si>
  <si>
    <t xml:space="preserve">OPHTHALMIC BIOMETRY ULTRA ECHOG A-SCAN  </t>
  </si>
  <si>
    <t xml:space="preserve">BRAIN IMAGING, LESS THAN 4 STATIC VIEWS </t>
  </si>
  <si>
    <t>UNLISTED CARDIOVASCULAR NUCLEAR MEDICINE</t>
  </si>
  <si>
    <t xml:space="preserve">PET IMAGING; SKULL BASE TO MID-THIGH    </t>
  </si>
  <si>
    <t xml:space="preserve">MYELOGRAPHY THORACIC SUPERVIS/INTERP    </t>
  </si>
  <si>
    <t>SUSCEPT STUD ANTIMICRO AGN MICRODIL/AGAR</t>
  </si>
  <si>
    <t xml:space="preserve">CREATINE KINASE(CK),(CPK); ISOFORMS     </t>
  </si>
  <si>
    <t xml:space="preserve">ANTIBODY; CRYPTOCOCCUS                  </t>
  </si>
  <si>
    <t>CT,UPPER EXTRIMITY;W/O CONTRAST MATERIAL</t>
  </si>
  <si>
    <t xml:space="preserve">PET IMAGING; WHOLE BODY                 </t>
  </si>
  <si>
    <t xml:space="preserve">RADIOLOGIC EXAM FOREARM 2 VIEWS         </t>
  </si>
  <si>
    <t xml:space="preserve">PYRIDOXAL PHOSPHATE (VITAMIN B-6)       </t>
  </si>
  <si>
    <t xml:space="preserve">IRON BINDING CAPACITY                   </t>
  </si>
  <si>
    <t xml:space="preserve">PORPHYRINS, URINE; QUALITATIVE          </t>
  </si>
  <si>
    <t>ULTRASND, PG UTERUS, IMAGE 1ST GESTATION</t>
  </si>
  <si>
    <t xml:space="preserve">UREA NITROGEN CLEARANCE                 </t>
  </si>
  <si>
    <t>INF AG ANTI DEC/ENZY;ENTAMOEBA HISTOLYTI</t>
  </si>
  <si>
    <t xml:space="preserve">PROTEIN; TOTAL, EXCEPT REFRACTOMETRY    </t>
  </si>
  <si>
    <t>CHORIONIC GONADOTROPHIN STIM PAN TESTOST</t>
  </si>
  <si>
    <t xml:space="preserve">COMPUTER TOMO UPPER EXTREM W/CONTRAST   </t>
  </si>
  <si>
    <t>DRUG SCREEN (MULTIPL DRUG CLASS,EA PROC)</t>
  </si>
  <si>
    <t>ESOPHAGUS,AC REF TST;W/NASAL CATH PH ELE</t>
  </si>
  <si>
    <t xml:space="preserve">SPLEEN IMAGING ONLY, W/WO VASCULAR FLOW </t>
  </si>
  <si>
    <t xml:space="preserve">ALLERGEN SPEC IGE; QUALIT MULTIALLERGEN </t>
  </si>
  <si>
    <t xml:space="preserve">PHENYLALANINE (PKU), BLOOD              </t>
  </si>
  <si>
    <t xml:space="preserve">CHROMOSONE ANALYSIS-ANALYZE 20-25 CELLS </t>
  </si>
  <si>
    <t>ANGIO RENAL,BILAT,SELECT(INC AORTO)SUPER</t>
  </si>
  <si>
    <t>HEMOLYSINS &amp; AGGLUTININS,AUTO,SCREEN,EAC</t>
  </si>
  <si>
    <t xml:space="preserve">CHEM HISTAMINE                          </t>
  </si>
  <si>
    <t>IN AGT-NUCL ACD;HEPATITIS C,AMP PROB TEC</t>
  </si>
  <si>
    <t>IAA-ENZY IMUNOA...HISTOPLASMA CAPSULATUM</t>
  </si>
  <si>
    <t xml:space="preserve">FLOW CYTOMETRY,INTERPRET; 9-15 MARKERS  </t>
  </si>
  <si>
    <t>INF AGNT-NUCLEIC ACID;HIV-1,AMP PROB TEC</t>
  </si>
  <si>
    <t xml:space="preserve">BONE IMAGING MULTIPLE AREAS             </t>
  </si>
  <si>
    <t>IA-NUC ACD;GARDNERLA VAGINAL,AMP PRO TEC</t>
  </si>
  <si>
    <t xml:space="preserve">FOLIC ACID; RBC                         </t>
  </si>
  <si>
    <t>MOLECULAR DIAGNOSTICS ID TRANSLATION SES</t>
  </si>
  <si>
    <t>U-SND;KIDNEY TRANSPL,DOPPLER W/IMAGE DOP</t>
  </si>
  <si>
    <t xml:space="preserve">CREATININE; OTHER SOURCE                </t>
  </si>
  <si>
    <t>IN AGNT ANTG-ENZ IM..STREPTOCOCCUS,GRP A</t>
  </si>
  <si>
    <t>MAG RESON IMAG,LOW EXT NOT JOINT,W/CONTR</t>
  </si>
  <si>
    <t>PULMONARY PERFUSION IMAGING W VENT SINGL</t>
  </si>
  <si>
    <t>HETEROPHILE ANTI PLUS TITERS BEEF OTHERS</t>
  </si>
  <si>
    <t xml:space="preserve">SKIN TEST HISTOPLASMOSIS                </t>
  </si>
  <si>
    <t>OPHTHALMIC,ECHOGRAPH,DIAG;(CORNEAL THICK</t>
  </si>
  <si>
    <t>RADIO EXAM SKULL COMP MIN FOUR W/O STERE</t>
  </si>
  <si>
    <t xml:space="preserve">ANTIBODY; ENCEPHALITIS, ST. LOUIS       </t>
  </si>
  <si>
    <t xml:space="preserve">SKIN TEST, UNLISTED ANTIGEN, EACH       </t>
  </si>
  <si>
    <t xml:space="preserve">ISLET CELL ANTIBODY                     </t>
  </si>
  <si>
    <t xml:space="preserve">IRON STAIN, PERIPHERAL BLOOD            </t>
  </si>
  <si>
    <t xml:space="preserve">UNLISTED GENITOURINARY NUCLEAR MEDICINE </t>
  </si>
  <si>
    <t xml:space="preserve">GALACTOKINASE RBC                       </t>
  </si>
  <si>
    <t xml:space="preserve">PERCUT TRANSHEP BILI W/DRAIN W/CONT S/I </t>
  </si>
  <si>
    <t>BLOOD COUNT; AUTO DIFFERENTIAL WBC COUNT</t>
  </si>
  <si>
    <t>MAG RESON IMAG,ABDOMEN;W/ CONTRAST MATER</t>
  </si>
  <si>
    <t>FLOW CYTOMETRY CELL CYCLE OR DNA ANALYSI</t>
  </si>
  <si>
    <t xml:space="preserve">UREA NITROGEN; QUANTITATIVE             </t>
  </si>
  <si>
    <t>FIBRINOLYTIC FACTORS INHIB; PLASMINO ACT</t>
  </si>
  <si>
    <t>BLD TYP RBC ANTIGEN OTH THAN ABO OR RH-D</t>
  </si>
  <si>
    <t>INF AG ANTI DEC/ENZ;ENTAM HIS DISPAR GRP</t>
  </si>
  <si>
    <t xml:space="preserve">ANTIBODY; FRANCISELLA TULARENSIS        </t>
  </si>
  <si>
    <t>ANTIBODY; PROTOZOA NOT ELSEWHERE SPECIFI</t>
  </si>
  <si>
    <t xml:space="preserve">KETOSTEROIDS, 17- (17-KS) FRACTIONATION </t>
  </si>
  <si>
    <t>IA NUC ACD;CHLAMYD TRACHOMA,DIR PROB TEC</t>
  </si>
  <si>
    <t xml:space="preserve">IMIPRAMINE                              </t>
  </si>
  <si>
    <t>IA-NU AC;MYCOBAC AVIUM-INTRACELR,AMP PRO</t>
  </si>
  <si>
    <t>IN AGT-NUC AC;STREPTOCOCUS,GRP A,AMP PRO</t>
  </si>
  <si>
    <t>HEPATITIS B CORE ANTIBODY(HBCAB);IGM ANT</t>
  </si>
  <si>
    <t xml:space="preserve">C-PEPTIDE                               </t>
  </si>
  <si>
    <t xml:space="preserve">ANTIBODY; TOXOPLASMA, IGM               </t>
  </si>
  <si>
    <t xml:space="preserve">PROSTATE SPECIFIC ANTIGEM;COMPLEXED     </t>
  </si>
  <si>
    <t xml:space="preserve">CHLORINATED HYDROCARBONS SCREEN         </t>
  </si>
  <si>
    <t xml:space="preserve">MALATE DEHYDROGENASE                    </t>
  </si>
  <si>
    <t xml:space="preserve">IAA-ENZY IMUNOA...CHLAMYDIA TRACHOMATIS </t>
  </si>
  <si>
    <t>PORPHYRINS, URINE; QUANTITAT &amp; FRACTIONA</t>
  </si>
  <si>
    <t xml:space="preserve">STEREOTACTIC GUIDANCE FOR BREAST BIOPSY </t>
  </si>
  <si>
    <t>IM AG-NUCL ACD'GARDENERLA VAGINALIS,QUAN</t>
  </si>
  <si>
    <t>FLURORESCENT ANTIBODY;SCREEN,EA.ANTIBODY</t>
  </si>
  <si>
    <t>VENOGRAPH EXTREM BILAT SUPERVIS/INTERPRE</t>
  </si>
  <si>
    <t>RAD EX,RIBS,BILAT;INC POSTEROANT CHEST;4</t>
  </si>
  <si>
    <t>CT,ORBIT,SELLA/POST FOS..W/O&amp;W/CONTR MAT</t>
  </si>
  <si>
    <t>GONADOTROPIN, CHORIONIC((HCG)  QUANTITAT</t>
  </si>
  <si>
    <t xml:space="preserve">RADIOLOGIC EXAM WRIST; 2 VEIWS          </t>
  </si>
  <si>
    <t xml:space="preserve">ANTIBODY; BLASTOMYCES                   </t>
  </si>
  <si>
    <t xml:space="preserve">COMPUT TOMO CERV SPINE W/CONTRAS MEDIA  </t>
  </si>
  <si>
    <t xml:space="preserve">ANTIBODY; HIV-1 AND HIV-2, SINGLE ASSAY </t>
  </si>
  <si>
    <t xml:space="preserve">PHENYLKETONES, QUALITATIVE              </t>
  </si>
  <si>
    <t>THYROXINE; REQUIRING ELUTION(EG.NEONATAL</t>
  </si>
  <si>
    <t>CHROMOTOGRAPHY,QUANTIT COL-ANAL NOT ELSW</t>
  </si>
  <si>
    <t xml:space="preserve">XRAY FOOT COMP ROUT MIN THREE VIEWS     </t>
  </si>
  <si>
    <t>ANGIO, EXT CAROTID, BILAT, SELECT, SUP&amp;I</t>
  </si>
  <si>
    <t>MRI,LOWER EXTRM/NOT JOINT;W/O&amp; W/CON MAT</t>
  </si>
  <si>
    <t xml:space="preserve">URINALYSIS, TWO OR THREE GLASS TEST     </t>
  </si>
  <si>
    <t xml:space="preserve">INHIBIN A                               </t>
  </si>
  <si>
    <t xml:space="preserve">T CELLS; ABSOLUTE CD4 COUNT             </t>
  </si>
  <si>
    <t xml:space="preserve">BLOOD SMEAR, W/O DIFFERENTIAL WBC COUNT </t>
  </si>
  <si>
    <t>CARDIAC BLD IMA FIRST PASS TECH SG STUDY</t>
  </si>
  <si>
    <t>INFEC ANTIGN DETEC;CLOSTRIDIUM DIF TOX A</t>
  </si>
  <si>
    <t xml:space="preserve">FLUORIDE                                </t>
  </si>
  <si>
    <t>LYMPHOCYTO ASSAY VISUAL XMATCH W TITRATI</t>
  </si>
  <si>
    <t xml:space="preserve">PHOSPHOGLUCONATE 6-DEHYDROGENASE RBC    </t>
  </si>
  <si>
    <t xml:space="preserve">ANTIBODY; ACTINOMYCES                   </t>
  </si>
  <si>
    <t>REMOVE CENTRAL VENOUS DEVIC OBSTRUC MATR</t>
  </si>
  <si>
    <t xml:space="preserve">CULT PRESUMPT PATHOGENIC ORGAN SCR ONLY </t>
  </si>
  <si>
    <t xml:space="preserve">GLUCAGON TOLERANCE TEST                 </t>
  </si>
  <si>
    <t xml:space="preserve">RADIO EXAM CLAVICLE COMPLETE            </t>
  </si>
  <si>
    <t xml:space="preserve">ANTIBODY; COXIELLA BRUNETTI (Q FEVER)   </t>
  </si>
  <si>
    <t xml:space="preserve">CARBON MONOXIDE QUALITATIVE             </t>
  </si>
  <si>
    <t xml:space="preserve">DACRYOCYSTO NASOLACRIN DUCT SUP/INTER   </t>
  </si>
  <si>
    <t>ULTRASOUND,PG UTER &lt;14 WKS,DETAILED,ADDL</t>
  </si>
  <si>
    <t>INF AG ANT DET/IMUNOFLU TECH;HERP SIMPL1</t>
  </si>
  <si>
    <t xml:space="preserve">MYELOGRAPHY LUMBOSAC SUPERVIS/INTERP    </t>
  </si>
  <si>
    <t>G0206</t>
  </si>
  <si>
    <t xml:space="preserve">DIAG MAMOGRPHY,DIRECT DIGTL IMG,UNILATR </t>
  </si>
  <si>
    <t xml:space="preserve">DIHYDROCODINONE                         </t>
  </si>
  <si>
    <t>CT,THORACIC SPINE,W/O &amp; W/CONTRAST MATER</t>
  </si>
  <si>
    <t>INFE AGNT-NUCLEIC ACID;HIV-2,DIR PRO TEC</t>
  </si>
  <si>
    <t>INF AGNT ANTIG-ENZYM IMUNOAS...ROTAVIRUS</t>
  </si>
  <si>
    <t>IA-NU A;MYCOBAC AVIUM-INTRACELR,DIR PROB</t>
  </si>
  <si>
    <t xml:space="preserve">CT ANGIO,UPPER EXTREM, W CONTR MATR     </t>
  </si>
  <si>
    <t xml:space="preserve">MAMMOGRAPHY, SCREENING, BILATERIAL      </t>
  </si>
  <si>
    <t>IV INJ PROC/RADIOPHARM NON-IMG PROB STDY</t>
  </si>
  <si>
    <t xml:space="preserve">CARDIAC MRI MORPH/FUNCT;W/STRESS IMAGIN </t>
  </si>
  <si>
    <t xml:space="preserve">HLA TYPING; A,B OR C, MULTIPLE ANTIGENS </t>
  </si>
  <si>
    <t>MAG RES IMAG,ABDOMEN;W/O CONTRAST MATERI</t>
  </si>
  <si>
    <t>RED CELL VOL DETERMIN(SP)SINGLE SAMPLING</t>
  </si>
  <si>
    <t>MAGNETIC RESONANCE ANGIO ABDEM W/WO CONT</t>
  </si>
  <si>
    <t xml:space="preserve">OSMOLALITY BLOOD                        </t>
  </si>
  <si>
    <t>CLOTTING HIGH MOLECULAR WEIGHT KINNINOGE</t>
  </si>
  <si>
    <t xml:space="preserve">PHOSPHATE, ACID; TOTAL                  </t>
  </si>
  <si>
    <t>EVALUATION FINE NEEDL ASPIR CYTOHISTOLOG</t>
  </si>
  <si>
    <t xml:space="preserve">CORTISOL; TOTAL                         </t>
  </si>
  <si>
    <t xml:space="preserve">CYCLIC CITRULLINATED PEPTIDE ANTIBODY   </t>
  </si>
  <si>
    <t>ANGIO ADRENAL BILAT SELECT SUPERVIS/INTE</t>
  </si>
  <si>
    <t xml:space="preserve">GLUCAGON TOLERANCE PANEL; INSULINOMA    </t>
  </si>
  <si>
    <t>RADIO EXAM SHOULD ARTHROG SUPERVIS/INTER</t>
  </si>
  <si>
    <t xml:space="preserve">LYMPHOCYTES T&amp;B DIFFERENTIATION         </t>
  </si>
  <si>
    <t>GASTROINTEST ENDOSCOPIC ULTRASOUND S &amp; I</t>
  </si>
  <si>
    <t>FIBRIN DEGRAD PROD(FDP)(FSP);SLIDE SEMQU</t>
  </si>
  <si>
    <t>MRI,BRAIN(INCL BRAIN STEM);W/O CONTR MAT</t>
  </si>
  <si>
    <t>TRANSLUM BALOON ANGIPERI ARTERY RADI S&amp;I</t>
  </si>
  <si>
    <t xml:space="preserve">PREGNANEDIOL                            </t>
  </si>
  <si>
    <t>MAGNET RESONANCE,SPIN CANAL,CERV W CONTR</t>
  </si>
  <si>
    <t xml:space="preserve">RADIOLOGIC EXAM ELBOW 2 VIEWS           </t>
  </si>
  <si>
    <t xml:space="preserve">COLLAGEN CROSS LINKS, ANY METHOD        </t>
  </si>
  <si>
    <t>INF AGNT-NU AC;BORELA BURG;DIR PROB TECH</t>
  </si>
  <si>
    <t>GASTROINTESTINAL PROTEIN LOSS RADCHR ALB</t>
  </si>
  <si>
    <t xml:space="preserve">CALCIUM; IONIZED                        </t>
  </si>
  <si>
    <t xml:space="preserve">LYMPHATICS AND LYMPH NODES IMAGING      </t>
  </si>
  <si>
    <t xml:space="preserve">ACETALDEHYDE BLOOD                      </t>
  </si>
  <si>
    <t xml:space="preserve">PROTOPORPHYRIN RBC QUANTITATIVE         </t>
  </si>
  <si>
    <t xml:space="preserve">DISKOGRAPHY,CERVICL/THORAC,RADIOL S&amp;I   </t>
  </si>
  <si>
    <t>HEPAT VENO WEDG/FREE W/O HEMODY SUPER/IN</t>
  </si>
  <si>
    <t>COMPLEMENT; FUNCTIONAL ACTIV, EACH COMPO</t>
  </si>
  <si>
    <t>POSTOP BILIARY DUCT CALCUL REMVL,RAD S&amp;I</t>
  </si>
  <si>
    <t xml:space="preserve">CYTOPATH ANY OTH USE PREP-SCREEN INTERP </t>
  </si>
  <si>
    <t xml:space="preserve">CT, BONE DENSITY STUDY, AXIAL SKELETON  </t>
  </si>
  <si>
    <t xml:space="preserve">EPIDUROGRAPHY RADIO SUPERVISION&amp;INTERP  </t>
  </si>
  <si>
    <t xml:space="preserve">PERCUT VERTEBROPLASTY,UNDER CT GUIDANCE </t>
  </si>
  <si>
    <t xml:space="preserve">HEPATITIS C ANTIBODY                    </t>
  </si>
  <si>
    <t>CYTOPATH SMEARS CERV/VAG TO 3 TECH PHY S</t>
  </si>
  <si>
    <t xml:space="preserve">CYTOPATHOLOGY FILTER METHOD             </t>
  </si>
  <si>
    <t xml:space="preserve">ANTIBODY; VIRUS NOT ELSEWHERE SPECIFIED </t>
  </si>
  <si>
    <t>IA-NUC ACD;NEISSERIA GONORRHOEAE,DIR PRO</t>
  </si>
  <si>
    <t xml:space="preserve">FOLIC ACID; SERUM                       </t>
  </si>
  <si>
    <t>URIN;QUALIT OR SEMIQUALIT,EXC IMMUNOASSA</t>
  </si>
  <si>
    <t>INF AGNT-NUCLEIC ACID; HIV-1,DIR PRO TEC</t>
  </si>
  <si>
    <t xml:space="preserve">HEAVY METAL (EG.ARSENIC, BARIUM);SCREEN </t>
  </si>
  <si>
    <t>RADIO EXAM SPIN/LUMBOSAC COMP BENDI VIEW</t>
  </si>
  <si>
    <t xml:space="preserve">IMMUNOASSAY-TUMOR ANTIGEN,QUANT; CA 125 </t>
  </si>
  <si>
    <t>ANTIBODY; EPSTEIN-BARR VIRUS,VIRAL CAPSI</t>
  </si>
  <si>
    <t xml:space="preserve">PRETX RBC'S INCUBAT W CHEMO AGENTS EACH </t>
  </si>
  <si>
    <t xml:space="preserve">LIVER IMAGING WITH VASCULAR FLOW        </t>
  </si>
  <si>
    <t xml:space="preserve">CORPORA CAVERMPSPGRAPHY SIPER/INTERP    </t>
  </si>
  <si>
    <t>RADIO EXAM MASTOI COMP MIN THREE VIE PER</t>
  </si>
  <si>
    <t xml:space="preserve">PREALBUMIN                              </t>
  </si>
  <si>
    <t>FLOW CYTOMETRY,CELL SURF,TECH COMP,EA AD</t>
  </si>
  <si>
    <t>IA-NUC AC,HEPP SIMPLEX VIRUS,DIR PRO TEC</t>
  </si>
  <si>
    <t>ECHOCARDIOGRAPH;FETAL,CARDIO SYS RT IM D</t>
  </si>
  <si>
    <t>RADIO EXAM ABDOM ANTEROPOST OBLIQUE/CONE</t>
  </si>
  <si>
    <t xml:space="preserve">HEMAGGLUTINATION INHIBITION TEST (HAI)  </t>
  </si>
  <si>
    <t xml:space="preserve">WATER LOAD TEST                         </t>
  </si>
  <si>
    <t>RADIO EXAM MANDIB COMPLETE MIN FOUR VIEW</t>
  </si>
  <si>
    <t>MAGNETIC RESONANCE IMAG;W/CONTRAST MATER</t>
  </si>
  <si>
    <t xml:space="preserve">CHLORIDE; OTHER SOURCE                  </t>
  </si>
  <si>
    <t>DUAL-ENERGY X-RAY,BONE DENSITY,AXIAL SKE</t>
  </si>
  <si>
    <t xml:space="preserve">ULTRASOUND,SPINAL CANAL AND CONTENTS    </t>
  </si>
  <si>
    <t>BLD TYP ANTIG SCREENCOMP BLD U W REAG SE</t>
  </si>
  <si>
    <t xml:space="preserve">RADIOLOGIC EXAM EYE DECTION OF FOREIGN  </t>
  </si>
  <si>
    <t>INF AG ANTIG DECT/NUCLEIC ACID;AIR PROBE</t>
  </si>
  <si>
    <t>MAGNET RESONANCE,SPIN CANAL,LUMBR,W CONT</t>
  </si>
  <si>
    <t xml:space="preserve">GASTRIC INTUB ASPIR FRACT COLLECT 2 HRS </t>
  </si>
  <si>
    <t xml:space="preserve"> PROCEDURE CODE</t>
  </si>
  <si>
    <t xml:space="preserve"> PROCEDURE NAME</t>
  </si>
  <si>
    <t>CURRENT PAY</t>
  </si>
  <si>
    <t xml:space="preserve">TRIDOTHYRONINE (T-3); FREE              </t>
  </si>
  <si>
    <t xml:space="preserve">BRAIN IMAGING,&lt;4 VIEWS W/VASC FLOW      </t>
  </si>
  <si>
    <t>CT,LOWER EXTREMITY;W/O CONTRAST MATERIAL</t>
  </si>
  <si>
    <t>CLOTTING INHIBITORS ANTITHROMBIN III,ACT</t>
  </si>
  <si>
    <t>CT GUIDANCE FOR STEROTACTIC LOCALIZATION</t>
  </si>
  <si>
    <t xml:space="preserve">ANTIBODY; CAMPYLOBACTER                 </t>
  </si>
  <si>
    <t>POOLING OF PLATELETS OR OTHR BLOOD PRODU</t>
  </si>
  <si>
    <t xml:space="preserve">FRUCTOSE SEMEN TLC SCREEN SEE 84375     </t>
  </si>
  <si>
    <t xml:space="preserve">SALICYLATE                              </t>
  </si>
  <si>
    <t xml:space="preserve">RADIO EXAM SELLA TURCICA                </t>
  </si>
  <si>
    <t xml:space="preserve">CT ANGIO,UPPER EXTREM, W/ CONTR MATR    </t>
  </si>
  <si>
    <t xml:space="preserve">ANTIBODY SCREEN RBC EA SERUM TECHNIQUE  </t>
  </si>
  <si>
    <t>CYTOPATH CERV/VAG WITH DEFIN HORMON EVAL</t>
  </si>
  <si>
    <t>ANGIOG EXTREMITY BILAT SUPERVIS/INTERPRE</t>
  </si>
  <si>
    <t>MOLECULAR DIAGNOSTICS;MOLECULAR ISOL/EXT</t>
  </si>
  <si>
    <t xml:space="preserve">FATTY ACIDS, NONESTERIFIED              </t>
  </si>
  <si>
    <t>VENOG CAVAL SUPER W/SERIAL SUPERVIS/INTE</t>
  </si>
  <si>
    <t xml:space="preserve">FAT OR LIPIDS, FECES; QUALITATIVE       </t>
  </si>
  <si>
    <t>RADIO EXAM HIPS BILAT MIN TWO VIEW EA BI</t>
  </si>
  <si>
    <t xml:space="preserve">RADIO EXAM WRIST ARTHRO SUPER/INTERP    </t>
  </si>
  <si>
    <t xml:space="preserve">PERCUT PLACE DRAIN IN OPER S AND I      </t>
  </si>
  <si>
    <t xml:space="preserve">BILIRUBIN,TOTAL TRANSCUTANEOUS          </t>
  </si>
  <si>
    <t>CYTOPAT,SMEAR,CER/VA,1-3,MAN TECH SCR/PH</t>
  </si>
  <si>
    <t xml:space="preserve">HEMOGLOBIN F(FETAL),CHEMICAL            </t>
  </si>
  <si>
    <t>BASIC METABOLIC PANEL (CALCIUM, IONIZED)</t>
  </si>
  <si>
    <t xml:space="preserve">MOLEC DIAG NUCLEIC ACID TRANSFER        </t>
  </si>
  <si>
    <t xml:space="preserve">CREATININE CLEARANCE                    </t>
  </si>
  <si>
    <t>CYTOGENETICS &amp; MOLECULAR CYTOGENETICS RP</t>
  </si>
  <si>
    <t>RADIO EXM,SM INTEST INC MULTI SERIAL FIL</t>
  </si>
  <si>
    <t>MRI,JOINT UPPER EXTREM, W/CONTRAST MATER</t>
  </si>
  <si>
    <t xml:space="preserve">OXALATE                                 </t>
  </si>
  <si>
    <t>COMPUTER DETECT,FURTHER REVIEW,MAMMOGRAM</t>
  </si>
  <si>
    <t xml:space="preserve">ANTISTREPTOLYSIN O TITER                </t>
  </si>
  <si>
    <t>VENOUS SAMP CATH W/WO ANGIO (PARATHY HOR</t>
  </si>
  <si>
    <t xml:space="preserve">CALCIUM; TOTAL                          </t>
  </si>
  <si>
    <t xml:space="preserve">AORTOGRAPHY ABD BILAT ILIO FEM SERI S&amp;I </t>
  </si>
  <si>
    <t>MOLECULAR DIAG SCAN-PHY PROPERTIES EA SE</t>
  </si>
  <si>
    <t xml:space="preserve">MR ANGIOGRAPHY,NECK;W/O&amp;W/CONTR MATER'L </t>
  </si>
  <si>
    <t xml:space="preserve">PATHOLOGY CONSULTATION DURING SURGERY   </t>
  </si>
  <si>
    <t>ULTRASND GUID,&amp;MONITR,VISCERAL TISU ABLA</t>
  </si>
  <si>
    <t>INF AG ANTIG DETC;HERPES SIMPLEX VIRUS 2</t>
  </si>
  <si>
    <t xml:space="preserve">TRANSCATH THERP, INFUSION ANY METH S&amp;I  </t>
  </si>
  <si>
    <t xml:space="preserve">XRAY TOE OR TOES MIN TWO VIEWS INDEPE   </t>
  </si>
  <si>
    <t xml:space="preserve">ANTIBODY; YERSINIA                      </t>
  </si>
  <si>
    <t>CEREBROSPINAL FLD FLOW IMG CISTERNOGRAPH</t>
  </si>
  <si>
    <t>FETAL BIOPHYSIC PROFILE;W/NON-STRES TEST</t>
  </si>
  <si>
    <t xml:space="preserve">T CELLS; TOTAL COUNT                    </t>
  </si>
  <si>
    <t xml:space="preserve">COCAINE OR METABOLITE                   </t>
  </si>
  <si>
    <t>VENOG RENAL UNILAT SELECT SUPERVIS/INTER</t>
  </si>
  <si>
    <t xml:space="preserve">COPPER                                  </t>
  </si>
  <si>
    <t>RADIOPHARM LOCALIZATION ABSCESS TOMOGRAP</t>
  </si>
  <si>
    <t xml:space="preserve">RADIO EXAM NECK SOFT TISSUE             </t>
  </si>
  <si>
    <t>CT, THORACIC SPINE;W/O CONTRAST MATERIAL</t>
  </si>
  <si>
    <t>THROMBOPLASTIN TIME PART(PTT)PLASMA-WHOL</t>
  </si>
  <si>
    <t xml:space="preserve">RADIOPHARMACEUTICAL DACRYOCYSTOGRAPHY   </t>
  </si>
  <si>
    <t xml:space="preserve">HYDROXYINDOLACETIC ACID, 5-(HIAA)       </t>
  </si>
  <si>
    <t xml:space="preserve">RADIO EXAM HIP COMPLETE MINI TWO VIEWS  </t>
  </si>
  <si>
    <t xml:space="preserve">INF AG ANTIG DECT/IMMUNOFL; RUBEOLA     </t>
  </si>
  <si>
    <t>RADIOLOGICAL EXAM,GI TRACT,UPPR.W/FOLLOW</t>
  </si>
  <si>
    <t>MAG RES IM ORBIT FACE NECT W/O CONTR MAT</t>
  </si>
  <si>
    <t>INF AG ANTIG DECT/NUCLEIC ACID;AMPL PROB</t>
  </si>
  <si>
    <t xml:space="preserve">SIALIC ACID                             </t>
  </si>
  <si>
    <t>IMMUNOASSAY ANALYTE NOT ANTIBODY SG METH</t>
  </si>
  <si>
    <t xml:space="preserve">ETHOSUXIMIDE                            </t>
  </si>
  <si>
    <t>CHORIONIC GONADOTROPHIN STIM PAN ESTRADI</t>
  </si>
  <si>
    <t xml:space="preserve">DIHYDROXYVITAMIN D, 1,25-               </t>
  </si>
  <si>
    <t>THRYOID STIMULATING IMMUNE GLOBULINS(TSI</t>
  </si>
  <si>
    <t xml:space="preserve">CALCULUS;QUALITATIVE ANALYSIS           </t>
  </si>
  <si>
    <t>ALCOHOL (ETHANOL);ANY SPECI EXCEP BREATH</t>
  </si>
  <si>
    <t xml:space="preserve">ESTROGENS TOTAL                         </t>
  </si>
  <si>
    <t>HEMOGLOBIN,QUANT,TRANSCUT;CARBOXYHEMOGLO</t>
  </si>
  <si>
    <t>ACTH STIMULA PANEL 3BETA HYDROXYDEHY DEF</t>
  </si>
  <si>
    <t>SERUM SCREEN CYTOTOX % REACTIVE ANTIBODY</t>
  </si>
  <si>
    <t>FETAL LUNG ASESM LECITH SPHINGOMYEL RATI</t>
  </si>
  <si>
    <t xml:space="preserve">OPIATES,(EG,MORPHINE, MEPERIDINE)       </t>
  </si>
  <si>
    <t xml:space="preserve">CULTURE CHLAMYDIA ANY SOURCE            </t>
  </si>
  <si>
    <t>I A AG BY ENZYME IMMUNOASAY TECH,GIARDIA</t>
  </si>
  <si>
    <t xml:space="preserve">CHLORAMPHENICOL                         </t>
  </si>
  <si>
    <t>IA DNA;STREPTPCPCCIS, GROUP B, AMP PROBE</t>
  </si>
  <si>
    <t xml:space="preserve">COAGULATION TIME OTHER METHODS          </t>
  </si>
  <si>
    <t>GASES BLOOD O2 SATURAT ONLY DIRECT MEASU</t>
  </si>
  <si>
    <t xml:space="preserve">LUTEINIZING RELEASING FACTOR (LRH)      </t>
  </si>
  <si>
    <t xml:space="preserve">PELVIMETRY W/WO PLACENTAL LOCALIZATION  </t>
  </si>
  <si>
    <t>RADIO EXAM FACI BONE COMPLE MIN THREE VI</t>
  </si>
  <si>
    <t xml:space="preserve">ANTIBODY; BARTONELLA                    </t>
  </si>
  <si>
    <t>SYPHILLIS TEST QUALITAT (EG VDRL,RPR,ART</t>
  </si>
  <si>
    <t xml:space="preserve">MAMMAGRAPHY; UNILATERAL                 </t>
  </si>
  <si>
    <t xml:space="preserve">VITAMIN K BLOOD                         </t>
  </si>
  <si>
    <t xml:space="preserve">THYROID STIMU SUPPRESSION OR DISCHARGE  </t>
  </si>
  <si>
    <t>COMPLX PHARYNGEAL &amp; SPEECH EVAL CINE-VID</t>
  </si>
  <si>
    <t xml:space="preserve">CHROSOME ANALYS 15-20 CELL 2 KAROTYPES  </t>
  </si>
  <si>
    <t xml:space="preserve">IMMUNOASSAY-TUMOR ANTIGEN,QUANT;CA15-3  </t>
  </si>
  <si>
    <t>MYOCAR PERFU IMA(PLANAR)REST-STU W/WO QN</t>
  </si>
  <si>
    <t xml:space="preserve">SIALOG SUPERVISION AND INTERPRETA       </t>
  </si>
  <si>
    <t>THYROTROPIN RELEASING HORMONE PANEL 2 HR</t>
  </si>
  <si>
    <t>CHROMOSOME ANALYS BK SYNDROM 20-25 CELLS</t>
  </si>
  <si>
    <t>T CELLS;ABSOLUTE CD4 &amp; CD8 CT,INCL RATIO</t>
  </si>
  <si>
    <t xml:space="preserve">RADIOLOGIC EXAM,OSSEOUS SURVEY, LIMITED </t>
  </si>
  <si>
    <t>SUBTRACTION IN CONJUNCT W/CONTRAST STUDI</t>
  </si>
  <si>
    <t xml:space="preserve">HEPATITIS BE ANTIBODY(HBEAB)            </t>
  </si>
  <si>
    <t xml:space="preserve">PYRUVATE KINASE                         </t>
  </si>
  <si>
    <t xml:space="preserve">RADIOLOGIC EXAM,KNEE; THREE VIEWS       </t>
  </si>
  <si>
    <t>MAG RESON IMAG,CHEST;W/ CONTRAST MATERIA</t>
  </si>
  <si>
    <t xml:space="preserve">ANGIO VERTEBRL, CERVICAL &amp;OR INCRAN S&amp;I </t>
  </si>
  <si>
    <t>INSULIN TOLERANCE PANEL ACTH INSUFFICIEN</t>
  </si>
  <si>
    <t xml:space="preserve">BRONCHO BILAT SUPERVIS AND INTERPRE     </t>
  </si>
  <si>
    <t>VENOG SUPERIOR SAGITTAL SINUS SUPER/INTE</t>
  </si>
  <si>
    <t xml:space="preserve">ANTIBODY; BORDETELLA                    </t>
  </si>
  <si>
    <t>CARDIAC MRI W/ FLOW/VELOCITY QUAN&amp;STRESS</t>
  </si>
  <si>
    <t xml:space="preserve">INSULIN; TOTAL                          </t>
  </si>
  <si>
    <t xml:space="preserve">COMPLEMENT; ANTIGEN, EACH COMPONENT     </t>
  </si>
  <si>
    <t>DUAL-ENERGY X-RAY,VERTEBRAL FX ASSESSMNT</t>
  </si>
  <si>
    <t xml:space="preserve">LEV I SUR PATH GROSS EX ONLY            </t>
  </si>
  <si>
    <t>RADIOLOGICAL THRU EXIST CATHET/FOLLOW-UP</t>
  </si>
  <si>
    <t>CULTUR BACT OTH SOURCE EXC URIN BLOOD ST</t>
  </si>
  <si>
    <t xml:space="preserve">ELECTROPHORETIC TECHNIQUE               </t>
  </si>
  <si>
    <t xml:space="preserve">ACTIVATED PROTEIN C RESISTANCE ASSAY    </t>
  </si>
  <si>
    <t xml:space="preserve">COAGULATION TIME ACTIVATED              </t>
  </si>
  <si>
    <t xml:space="preserve">BONE MARROS,SMEAR INTERPRETATION        </t>
  </si>
  <si>
    <t xml:space="preserve">ANTIBODY; LYMPHOCYTIC CHORIOMENGITIS    </t>
  </si>
  <si>
    <t>UREA NITRO;SEMIQUANTIT(EG.REAG STRP TST)</t>
  </si>
  <si>
    <t>U-SND,OBSTETRIC,NUCHAL MEAS,1ST/SNG GEST</t>
  </si>
  <si>
    <t xml:space="preserve">ACYLCARNITINE QUANT EA SPEC (SEE 82379) </t>
  </si>
  <si>
    <t xml:space="preserve">TESTICULAR IMAGING WITH VASCULAR FLOW   </t>
  </si>
  <si>
    <t xml:space="preserve">GROWTH HORMONE STIMULATION PANEL        </t>
  </si>
  <si>
    <t xml:space="preserve">TRIDOTHYRONINE (T-3); TOTAL (TT-3)      </t>
  </si>
  <si>
    <t xml:space="preserve">PROTOPORPHYRIN RBC SCREEN               </t>
  </si>
  <si>
    <t xml:space="preserve">CARDIAC MRI MORPH/FUNCT;W/FLOW/VELOCITY </t>
  </si>
  <si>
    <t>UROGRAPHY ANTEGRADE(PYELO,NEPHRO,LOOP)SU</t>
  </si>
  <si>
    <t xml:space="preserve">ANTIBODY; LYMPHOGRANULOMA VENEREUM      </t>
  </si>
  <si>
    <t xml:space="preserve">RADIOPHARM LOCALIZATION TUMOR TOMOGRAPH </t>
  </si>
  <si>
    <t xml:space="preserve">CEPHALOGRAM ORTHODONIC                  </t>
  </si>
  <si>
    <t xml:space="preserve">TUMOR IMAG,PET;LIMITED(CHEST,HEAD/NECK) </t>
  </si>
  <si>
    <t>NUCL MOLECLR DIAGN;SEPAR(EG,DOT BLT,ELEC</t>
  </si>
  <si>
    <t>IA-NUCLC ACD;CYTOMEGALOVIRUS,DIR PROB TE</t>
  </si>
  <si>
    <t>OSTEOPLASTIC RECONSTR/DORSAL SPINAL ELEM</t>
  </si>
  <si>
    <t>INF AGNT-NUCLC ACD;HEP B VIR,AMP PRO TEC</t>
  </si>
  <si>
    <t>PERINEOGRAM(VAGINOGRAM SEX DETERMIN/ANOM</t>
  </si>
  <si>
    <t>INF AG ANTIG DECT/IMMUNOFL;PARAINFLU VIR</t>
  </si>
  <si>
    <t xml:space="preserve">MRI, BREAST; BILATERAL                  </t>
  </si>
  <si>
    <t>INF AG ANTIG DECT/IMMUNOFL,POLYVAL ANTIS</t>
  </si>
  <si>
    <t>IAD,DNA/RNA;VANCOMYCIN RESIST,AMPL PROBE</t>
  </si>
  <si>
    <t xml:space="preserve">CHEM HEMOGLOBIN URINE                   </t>
  </si>
  <si>
    <t xml:space="preserve">CREATINE KINASE (CK),(CPK); TOTAL       </t>
  </si>
  <si>
    <t>FIBRIN DEGRAD PROD,D-DIMER(VENOUS THROMB</t>
  </si>
  <si>
    <t>INFECT AGNET ANTIGEN DETEC IMMUNOFLUORES</t>
  </si>
  <si>
    <t xml:space="preserve">OPHTHAL ULTRASO ECHO CONTRACT B-SCAN    </t>
  </si>
  <si>
    <t xml:space="preserve">CYTOPATHOLOGY SMEARS FILTER PREPARATION </t>
  </si>
  <si>
    <t xml:space="preserve">IN AGNT ACD;HERPES SIMPLEX VIR,QUANT    </t>
  </si>
  <si>
    <t xml:space="preserve">VOLUME MEASUREMENT/TIME COLLECTION EACH </t>
  </si>
  <si>
    <t xml:space="preserve">BONE AGE STUDIES                        </t>
  </si>
  <si>
    <t>MUTATION ID ENZYMATIC LIGATION OR PRIMER</t>
  </si>
  <si>
    <t xml:space="preserve">PHOSPHATASE, ALKALINE; ISOENZYMES       </t>
  </si>
  <si>
    <t xml:space="preserve">THYROID UPTAKE MULTI DETERMINATION      </t>
  </si>
  <si>
    <t>RADIO EXAM INTERNAL AUDITORY MEATI COMPL</t>
  </si>
  <si>
    <t>CHROSOME ANALYS 45 CELL MOSAIC 2 KAROTYP</t>
  </si>
  <si>
    <t>ANTIHUMAN GLOB TST;INDIR,TITER,EA ANTISE</t>
  </si>
  <si>
    <t>ANTIBODY; HTLV OR HIV,CONFIRM TST(WEST B</t>
  </si>
  <si>
    <t xml:space="preserve">TESTOSTERONE; FREE                      </t>
  </si>
  <si>
    <t>VIRUS ISOLATION;SHELL VIAL,W/ID W/IMMUNO</t>
  </si>
  <si>
    <t>ANTIBODY; FUNGUS, NOT ELSEWHERE SPECIFIE</t>
  </si>
  <si>
    <t>ANTIBODY; TREPONEMA PALLI CONFI TEST FTA</t>
  </si>
  <si>
    <t xml:space="preserve">CYANOCOBALAMIN (VITAMIN B-12)           </t>
  </si>
  <si>
    <t>IMMUNOASSAY,ANALYTE;NOT OTHERWISE SPECIF</t>
  </si>
  <si>
    <t xml:space="preserve">CHLORIDE; URINE                         </t>
  </si>
  <si>
    <t xml:space="preserve">ALPHA-FETOPROTEIN; SERUM                </t>
  </si>
  <si>
    <t>INF AG ANTIG DECT/ENZYME,INFLUEAZ A-B,EA</t>
  </si>
  <si>
    <t xml:space="preserve">CHEM SULFHEMOGLOBIN QUALITATIVE         </t>
  </si>
  <si>
    <t>RADIOLOGICAL EXAMINATION, SURGICAL SPECI</t>
  </si>
  <si>
    <t xml:space="preserve">LIVER AND SPLEEN IMAGING STATIC ONLY    </t>
  </si>
  <si>
    <t xml:space="preserve">CLOTTING, FACTOR VIII RELATED ANTIGEN   </t>
  </si>
  <si>
    <t>ULTRASOUND,PG UTER &lt;14 WKS,DETAILED,SNGL</t>
  </si>
  <si>
    <t xml:space="preserve">ULTRASOUND STUDY FOLLOW-UP              </t>
  </si>
  <si>
    <t xml:space="preserve">SKN TEST COCCIDIODOMYCOSIS EACH TEST    </t>
  </si>
  <si>
    <t xml:space="preserve">RADIOLOGIC EXAM HAND TWO VIEWS          </t>
  </si>
  <si>
    <t xml:space="preserve">URINARY BLADDER RESIDUAL STUDY          </t>
  </si>
  <si>
    <t>SUSCEP STU,ANTIMICR AG;MACROBRO DILUT,EA</t>
  </si>
  <si>
    <t xml:space="preserve">CYTOPATH ANY SOURCE SCREENING &amp; INTERP  </t>
  </si>
  <si>
    <t xml:space="preserve">PERCUTAN PLAC IVC FILTER S &amp; I          </t>
  </si>
  <si>
    <t xml:space="preserve">EUGLOBULIN LYSIS                        </t>
  </si>
  <si>
    <t>HEPAT VENO WEDG/FREE W/HEMODY SUPER/INTE</t>
  </si>
  <si>
    <t>UNLISTED NERVOUS SYSTEM NUCLEAR MEDICINE</t>
  </si>
  <si>
    <t xml:space="preserve">ALUMINUM                                </t>
  </si>
  <si>
    <t xml:space="preserve">CALCIUM BLOOD AFTER CALCIUM INFUS TEST  </t>
  </si>
  <si>
    <t>INFECT AGNT-NUCLC ACD;HEPATITIS G,QUANTI</t>
  </si>
  <si>
    <t>HELICOBACTER PYLORI,BLOOD ANAL/UREASE AC</t>
  </si>
  <si>
    <t xml:space="preserve">CHROSOME ANALYS ADD SPECIALIZED BANDING </t>
  </si>
  <si>
    <t xml:space="preserve">STARCH GRANULES, FECES                  </t>
  </si>
  <si>
    <t xml:space="preserve">OSMOTIC FRAGILITY, RBC; UNICUBATED      </t>
  </si>
  <si>
    <t xml:space="preserve">NORTRIPTYLINE                           </t>
  </si>
  <si>
    <t>LYMPHANG PELVIC/ABDOM BILAT SUPER/INTERP</t>
  </si>
  <si>
    <t>TISSUE CULT NON-NEOPLASTIC DISORD-LYMPHO</t>
  </si>
  <si>
    <t>PROTEIN;WESTERN BLOT W/INTERP AND RPT,BL</t>
  </si>
  <si>
    <t>IAA; ASPERGILLUS;ENZIME IMMUNOASSAY TECH</t>
  </si>
  <si>
    <t xml:space="preserve">RETICULATED PLATELET ASSAY              </t>
  </si>
  <si>
    <t xml:space="preserve">GLYCATED PROTEIN                        </t>
  </si>
  <si>
    <t xml:space="preserve">CALCITONIN                              </t>
  </si>
  <si>
    <t>CT GUIDANCE FOR NEEDLE PLACEMENT(BIOPSY)</t>
  </si>
  <si>
    <t xml:space="preserve">ANTIBODY; LISTERIA MONOCYTOGENES        </t>
  </si>
  <si>
    <t xml:space="preserve">NICOTINE                                </t>
  </si>
  <si>
    <t xml:space="preserve">CEREBROSPIN FLOW IMAG SHUNT EVALUATION  </t>
  </si>
  <si>
    <t xml:space="preserve">INTENS TREATMT DELIV,SIGL/MULT FIELDS   </t>
  </si>
  <si>
    <t xml:space="preserve">ACETAMINOPHEN                           </t>
  </si>
  <si>
    <t xml:space="preserve">LEUKOCYTE COUNT, FECAL                  </t>
  </si>
  <si>
    <t xml:space="preserve">CAROTENE                                </t>
  </si>
  <si>
    <t xml:space="preserve">DUODENOGRAPHY HYPOTONIC                 </t>
  </si>
  <si>
    <t xml:space="preserve">IN AGT-NUCL ACD;HEP B VIRUS,DIR PRO TEC </t>
  </si>
  <si>
    <t xml:space="preserve">DUODENAL INTUBATION ASPIRAT SINGLE SPEC </t>
  </si>
  <si>
    <t>CT,LUMBAR SPINE;W/O &amp; W/CONTRAST MATERIA</t>
  </si>
  <si>
    <t>INF AGNT-NUCLC ACID;BART;AMPL PROBE TECH</t>
  </si>
  <si>
    <t>LIPOPROTEIN, DIR MSRMNT; VLDL CHOLESTROL</t>
  </si>
  <si>
    <t xml:space="preserve">CPK BLOOD ISOENZYMES                    </t>
  </si>
  <si>
    <t xml:space="preserve">DESOXYCORTICOSTERONE, 11-               </t>
  </si>
  <si>
    <t xml:space="preserve">PHENYTOIN; TOTAL                        </t>
  </si>
  <si>
    <t xml:space="preserve">CT,LUMBAR SPINE; W/O CONTRAST MATERIAL  </t>
  </si>
  <si>
    <t xml:space="preserve">LIPOPROTEIN (A)                         </t>
  </si>
  <si>
    <t xml:space="preserve">COLD AGGLUTININ; SCREEN                 </t>
  </si>
  <si>
    <t>CARDIOLIP(PHOSPHOLIPID)ANTIBO EA IG CLAS</t>
  </si>
  <si>
    <t xml:space="preserve">PHOSPHORUS INORGANIC (PHOSPHATE)        </t>
  </si>
  <si>
    <t>ULTRASND,CHEST,B-SCAN&amp;/OR REAL TIM W/IMA</t>
  </si>
  <si>
    <t>RADIOPHARM LOCALIZATION TUMOR LIMIT AREA</t>
  </si>
  <si>
    <t>CHEMO ADMIN/CNS REQ&amp;INCL SPINAL PUNCTURE</t>
  </si>
  <si>
    <t>CHROMOTOGRAPHY QUANTI COL-MULTI-SIN STAT</t>
  </si>
  <si>
    <t>ULTRASONIC GUID ENDOMYOCARD BIOP IMA S&amp;I</t>
  </si>
  <si>
    <t xml:space="preserve">RADIO EXAM ABDOM SING ANTEROPOST VIEW   </t>
  </si>
  <si>
    <t>IN AC D-NUC ACD;CANDIDA SPC;AMP PROB TEC</t>
  </si>
  <si>
    <t>RADIO EXAM PELVIS/HIPS INFANT/CHIL MIN 2</t>
  </si>
  <si>
    <t xml:space="preserve">CHEM SULFHEMOGLOBIN QUANTITATIVE        </t>
  </si>
  <si>
    <t xml:space="preserve">URETERAL REFLUX STUDY                   </t>
  </si>
  <si>
    <t xml:space="preserve">HYDROXYPROLINE; FREE                    </t>
  </si>
  <si>
    <t xml:space="preserve">ANTIBODY; MYCOPLASMA                    </t>
  </si>
  <si>
    <t xml:space="preserve">C REACTIVE PROTEIN                      </t>
  </si>
  <si>
    <t>GLUCOSE-6-PHOSPHATE DEHYDROGENASE QUANTI</t>
  </si>
  <si>
    <t xml:space="preserve">RED CELL SURVIVAL STUDY RADIOCHROMIUM   </t>
  </si>
  <si>
    <t xml:space="preserve">KETOSTEROIDS, 17- (17-KS); TOTAL        </t>
  </si>
  <si>
    <t xml:space="preserve">HOMOGENIZATION TISSUE FOR CULTURE       </t>
  </si>
  <si>
    <t xml:space="preserve">RADIO EXAM RIBS UNILAT MIN TWO VIEWS    </t>
  </si>
  <si>
    <t>RADIO EXAM PELVIS COMPLETE MIN THREE VIE</t>
  </si>
  <si>
    <t xml:space="preserve">LEUKOCYTE ALKALINE PHOSPHATASE W COUNT  </t>
  </si>
  <si>
    <t>RADIO EXAM SACROILIAC JOINT LESS THREE V</t>
  </si>
  <si>
    <t>IAA;TRICHOMONAS VAGINALIS,W/OPTIC OBSERV</t>
  </si>
  <si>
    <t>TISUE EXAM KOH SLIDE SAMP SKIN,HAIR,NAIL</t>
  </si>
  <si>
    <t xml:space="preserve">CHEMILUMINESCENT ASSAY                  </t>
  </si>
  <si>
    <t xml:space="preserve">CATACHOLAMINES BLOOD                    </t>
  </si>
  <si>
    <t xml:space="preserve">FRESH FROZEN PLASMA, THAWING, EA UNIT   </t>
  </si>
  <si>
    <t xml:space="preserve">ANTIBODY; CYTOMEGALOVIRUS (CMV)         </t>
  </si>
  <si>
    <t xml:space="preserve">EPIANDROSTERONE                         </t>
  </si>
  <si>
    <t>IMMUNOASSAY ANAL NOT ANTIB/INFEC MUL MTD</t>
  </si>
  <si>
    <t xml:space="preserve">PARATHYROID IMAGING                     </t>
  </si>
  <si>
    <t xml:space="preserve">THYROXINE; FREE                         </t>
  </si>
  <si>
    <t xml:space="preserve">SMEAR,PRIM SOURC W/INTERP;GM/GIEMSA STA </t>
  </si>
  <si>
    <t xml:space="preserve">RADIO EXAM ESOPHAGUS                    </t>
  </si>
  <si>
    <t xml:space="preserve">ANTIBODY; RICKETTSIA                    </t>
  </si>
  <si>
    <t>CLOTTING; FACTOR VIII VW FACTOR RISTOCET</t>
  </si>
  <si>
    <t>G0202</t>
  </si>
  <si>
    <t>SCRN MAMMOGRAPHY,DIR DIGITAL IMAG,BILATR</t>
  </si>
  <si>
    <t>SUGARS CHROMATO TLC OR PAPER SEE83055-60</t>
  </si>
  <si>
    <t xml:space="preserve">UREA BREATH TEST,C-14;ANALYSIS          </t>
  </si>
  <si>
    <t xml:space="preserve">DISKOGRAPHY LUMBAR SUPERVIS/INTERPU     </t>
  </si>
  <si>
    <t xml:space="preserve">CT, THORAX;  W/O CONTRAST MATERIAL      </t>
  </si>
  <si>
    <t>ANGIO CAROT CERE BILATER SUPERVIS/INTERP</t>
  </si>
  <si>
    <t>ENTEROVIRUS ANTIBODY,DIR FLUORESC ANTIBO</t>
  </si>
  <si>
    <t xml:space="preserve">PROINSULIN                              </t>
  </si>
  <si>
    <t xml:space="preserve">CARNITINE TOT/FREE QUANTITATIVE EA SPEC </t>
  </si>
  <si>
    <t xml:space="preserve">UNLISTED CYTOPATHOLOGY PROCEDURE        </t>
  </si>
  <si>
    <t xml:space="preserve">FACTOR INHIBITOR TEST                   </t>
  </si>
  <si>
    <t xml:space="preserve">CATHESPIN-D                             </t>
  </si>
  <si>
    <t xml:space="preserve">MORPHOMETRIC ANALYSIS TUMOR             </t>
  </si>
  <si>
    <t xml:space="preserve">AMINO ACIDS;SINGLE;QUANTITATIVE,EA SPEC </t>
  </si>
  <si>
    <t xml:space="preserve">COMPUTED TOMOGRAPHIC ANGIOGRAPHY, HEAD  </t>
  </si>
  <si>
    <t xml:space="preserve">ANTIBODY; TETANUS                       </t>
  </si>
  <si>
    <t xml:space="preserve">TRANSFERASE; ASPARTATE AMINO(AST)(SGOT) </t>
  </si>
  <si>
    <t xml:space="preserve">LIVER &amp; SPLEEN IMAGING &amp; VASCULAR FLOW  </t>
  </si>
  <si>
    <t>CYTOPATHOLOGY SLIDES CER/VAG CELL SELECT</t>
  </si>
  <si>
    <t xml:space="preserve">MOLECULR DIAG;LYSIS CELLS PRIOR NUCLEIC </t>
  </si>
  <si>
    <t xml:space="preserve">MOLEC DIAG, AMP, 1ST 2 NUCLEIC ACID SEQ </t>
  </si>
  <si>
    <t>PROTEIN ANALYS O TIS WEST BLOT INTER/REP</t>
  </si>
  <si>
    <t xml:space="preserve">CHONDROITIN B SULFATE QUANTITATIVE      </t>
  </si>
  <si>
    <t>COUNTERIMMUNOELECTROPHORESIS,EA. ANTIGEN</t>
  </si>
  <si>
    <t xml:space="preserve">PROLACTIN                               </t>
  </si>
  <si>
    <t xml:space="preserve">UA MICROSCOPIC ONLY                     </t>
  </si>
  <si>
    <t>MICROSOMAL ANTIBODIES(THYR/LVR-KID),EACH</t>
  </si>
  <si>
    <t xml:space="preserve">CLOTTING FACTOR 1X                      </t>
  </si>
  <si>
    <t xml:space="preserve">PYRUVATE                                </t>
  </si>
  <si>
    <t xml:space="preserve">HYPERTHERMIA EXT GENERATED SUPERFICIAL  </t>
  </si>
  <si>
    <t xml:space="preserve">ULTRASOUND GUIDED COMPRESSION REPAIR    </t>
  </si>
  <si>
    <t>PERCUTAN TRANSHEPAT PORT W/HEMODYN SUPER</t>
  </si>
  <si>
    <t xml:space="preserve">VENOGRAPHY EPIDURAL SUPERVIS/INTERP     </t>
  </si>
  <si>
    <t xml:space="preserve">HLA TYPING; DR/DQ, MULTIPLE ANTIGENS    </t>
  </si>
  <si>
    <t xml:space="preserve">COMPLEMENT; TOTAL HEMOLYTIC (CH50)      </t>
  </si>
  <si>
    <t xml:space="preserve">BARBITURATES, NOT ELSEWHERE SPECIFIED   </t>
  </si>
  <si>
    <t>SUSCEPT STUD ANTIMICR AGNT AGAR DILUTION</t>
  </si>
  <si>
    <t xml:space="preserve">ANTIBODY; CYTOMEGALOVIRUS (CMV), IGM    </t>
  </si>
  <si>
    <t>AGGLUTININS,FEBRILE(EG,BRUCELA),EA.ANTIG</t>
  </si>
  <si>
    <t xml:space="preserve">MYOCAR PERFUS STUDY W/EJECTION FRACTION </t>
  </si>
  <si>
    <t xml:space="preserve">RADIOEXAM STERUNUM MINI TWO VIEWS       </t>
  </si>
  <si>
    <t xml:space="preserve">TRYPSIN, FECES, QUALITATIVE             </t>
  </si>
  <si>
    <t xml:space="preserve">CULTURE OTHER METHOD                    </t>
  </si>
  <si>
    <t xml:space="preserve">ANIMAL INOCULATION SMALL ANIMAL W OBS   </t>
  </si>
  <si>
    <t xml:space="preserve">VENOG ORBITAL SUPERVIS/INTERPRE         </t>
  </si>
  <si>
    <t xml:space="preserve">BILIRUBIN FECES QUALITATIVE             </t>
  </si>
  <si>
    <t>RADIOLOGIC EXAM SPINE THORACIC MIN 4VIEW</t>
  </si>
  <si>
    <t xml:space="preserve">SEE CODE 87001 W OBS DISSECTION         </t>
  </si>
  <si>
    <t>IV INFUSION, HYDRATION;INITIAL,31-60 MIN</t>
  </si>
  <si>
    <t xml:space="preserve">UREA NITROGEN URINE                     </t>
  </si>
  <si>
    <t xml:space="preserve">HETEROPHILE ANTIBODIES; TITER           </t>
  </si>
  <si>
    <t>LIPOPROTEIN,BLD,QUANTITATION OF LIPOPROT</t>
  </si>
  <si>
    <t xml:space="preserve">BLOOD COUNT,  AUTOMATED RBC COUNT       </t>
  </si>
  <si>
    <t>ANGIO, EXT CAROTID, UNILAT, SELECT SUP&amp;I</t>
  </si>
  <si>
    <t xml:space="preserve">METHSUXIMIDE                            </t>
  </si>
  <si>
    <t>DOPLER VELOCIMETRY,FETAL;MID CEREBR ARTE</t>
  </si>
  <si>
    <t xml:space="preserve">NEUTRALIZATION TEST VIRAL               </t>
  </si>
  <si>
    <t xml:space="preserve">INTRO URET CATH OR STENT INTO URET THRU </t>
  </si>
  <si>
    <t xml:space="preserve">RAD EXAM, BOTH KNEES, STANDING          </t>
  </si>
  <si>
    <t>RADIOLOGIC EXAM CHEST TWO VIEWS FRON/LAT</t>
  </si>
  <si>
    <t>PUL VEN IMG GS RBRE WAS W/WO M BRE S PRJ</t>
  </si>
  <si>
    <t>LYMPHANG PELVIC/ABDOM UNILAT SUPERVIS/IN</t>
  </si>
  <si>
    <t>ANTI-PHOSPHATIDYLSERINE(PHOSPHOLIPID)ANT</t>
  </si>
  <si>
    <t>GASTRIC INTUB ASPIR FRACT COL 2 HRS STIM</t>
  </si>
  <si>
    <t xml:space="preserve">ALPHA-1-ANTITRYPSIN; PHENOTYPE          </t>
  </si>
  <si>
    <t xml:space="preserve">CLOTTING FACTOR V11                     </t>
  </si>
  <si>
    <t>CARDIAC BLD IMA FIRST PASS TECH MUL STUD</t>
  </si>
  <si>
    <t xml:space="preserve">BLOOD COMPAT TEST EA U INCUBATION TECH  </t>
  </si>
  <si>
    <t>VASOGRA,VESICUL,EPIDIDY,SUPERVIS/INTERPR</t>
  </si>
  <si>
    <t>ATOMIC ABSORPTION SPECTROSCOPY,EA ANALYT</t>
  </si>
  <si>
    <t xml:space="preserve">RADIO EXAM COLON BARIUM ENEMA W/WO KUB  </t>
  </si>
  <si>
    <t>CLOTTING INHIBITORS ANTICOAG;PROT C ACTI</t>
  </si>
  <si>
    <t>RADIO EXAM SHOULDER COMPLETE MIN TWO VIE</t>
  </si>
  <si>
    <t xml:space="preserve">METYRAPONE PANEL                        </t>
  </si>
  <si>
    <t xml:space="preserve">ACUTE VENOUS THROMBOSIS IMAGING,PEPTIDE </t>
  </si>
  <si>
    <t>PLASMA VOL RADIONUL VOL-DILUT MULTI SAMP</t>
  </si>
  <si>
    <t xml:space="preserve">RENIN                                   </t>
  </si>
  <si>
    <t>CULT TYP IMUNOLOG MTH OTH IMUNOFLU/ANTIS</t>
  </si>
  <si>
    <t>IAA-ENZYM IMUNOA...ESCHERICHIA COLI 0157</t>
  </si>
  <si>
    <t xml:space="preserve">GASTIC ACID,FREE OR TOTAL;EACH SPECIMEN </t>
  </si>
  <si>
    <t xml:space="preserve">CITRIC ACID                             </t>
  </si>
  <si>
    <t>HEINZ BODIES INDUCED ACETYLPHENYLHYDRAZI</t>
  </si>
  <si>
    <t>CINDE/VIDEORADIOGRAPHY,EXCP SPECIFI INCL</t>
  </si>
  <si>
    <t xml:space="preserve">MIGRATION INHIBITORY FACTOR TEST (MIF)  </t>
  </si>
  <si>
    <t>SPECIFIC GRAVITY (EXCEPT URINE)SEE 81000</t>
  </si>
  <si>
    <t>SUSCEPTIBILITY STUDIES,ANTIMICROBIAL AGE</t>
  </si>
  <si>
    <t xml:space="preserve">CT ANGIO,PELVIS W/ CONTRAST MATERIAL    </t>
  </si>
  <si>
    <t xml:space="preserve">STEM CELLS, TOTAL COUNT                 </t>
  </si>
  <si>
    <t xml:space="preserve">POTASSIUM URINE                         </t>
  </si>
  <si>
    <t xml:space="preserve">BILE ACIDS; CHOLYLGLYCINE               </t>
  </si>
  <si>
    <t>DEOXYRIBONUCLE ACID(DNA)ANTIB;NAT/DBL ST</t>
  </si>
  <si>
    <t>GASTRIC ACID,FREE &amp; TOTAL; EACH SPECIMEN</t>
  </si>
  <si>
    <t>IA DET/NUCLEIC ACID;ENTEROVIRUS,AMP PROB</t>
  </si>
  <si>
    <t xml:space="preserve">UREA BREATH TEST,C-14,ACQUIS FOR ANALYS </t>
  </si>
  <si>
    <t>INF AG ANTIG DECT/ENZYME;CRYPTOCC NEOFOR</t>
  </si>
  <si>
    <t xml:space="preserve">RADIOLOGIC EXAM CHEST WITH FLUOROSCOPY  </t>
  </si>
  <si>
    <t xml:space="preserve">FLUOROSCOPIC GUIDANCE CENTRAL DEVICE    </t>
  </si>
  <si>
    <t>UNLISTED GASTROINTES PROC DIAG NUCLEAR P</t>
  </si>
  <si>
    <t>CULTURE TUBERCLE OTHER ACID FAST BACILLI</t>
  </si>
  <si>
    <t>ALBUMIN;URINE/OTH SOURCE,QUANT EA SPECIM</t>
  </si>
  <si>
    <t xml:space="preserve">ACETONE QUANTITIVE BODIES SEE 82009-10  </t>
  </si>
  <si>
    <t>FLUOROGUIDE GUIDANCE FOR SPINE INJECTION</t>
  </si>
  <si>
    <t>MAG RESON ANGIOGR,HEAD;W/ CONTRAST MATER</t>
  </si>
  <si>
    <t xml:space="preserve">CT GUIDANCE,PARENCHYMAL TISSUE ABLATION </t>
  </si>
  <si>
    <t>ENZYME ACT IN BLOOD CELLS-NONRADIOACTIVE</t>
  </si>
  <si>
    <t>REPTILASE TEST RITICSEE 85044 RUMP-85165</t>
  </si>
  <si>
    <t xml:space="preserve">RADIO EXAM SINUSES PARAN LESS THN THREE </t>
  </si>
  <si>
    <t xml:space="preserve">PHOSPHOHEXOSE ISOMERASE                 </t>
  </si>
  <si>
    <t xml:space="preserve">FLURAZEPAM                              </t>
  </si>
  <si>
    <t xml:space="preserve">IAA/EWZ IMMUN,QLT-SEMI,MS,HELICO PLY,ST </t>
  </si>
  <si>
    <t xml:space="preserve">SIALIDASE ENZYMATIC ASSAY               </t>
  </si>
  <si>
    <t>ANTIBODY; BORELLIA BUFGDORFERI/LYME DISE</t>
  </si>
  <si>
    <t xml:space="preserve">BETA2 GLYCOPROTEIN I ANTIBODY, EACH     </t>
  </si>
  <si>
    <t>PARTICLE AGGLUTINATION SCREEN EA ANTIBDY</t>
  </si>
  <si>
    <t xml:space="preserve">CYANIDE                                 </t>
  </si>
  <si>
    <t>CHOLANGIOGRAPHY PRECUTAN TRANSHEP SUP/IN</t>
  </si>
  <si>
    <t>BRAIN IMAGING (PET) PERFUSION EVALUATION</t>
  </si>
  <si>
    <t xml:space="preserve">TRYPSIN DUODENAL FLUID                  </t>
  </si>
  <si>
    <t>IN AG-NUC AC;PAPILOMAVIRUS,HUMAN,DIR PRO</t>
  </si>
  <si>
    <t xml:space="preserve">ANTIBODY; HISTOPLASMA                   </t>
  </si>
  <si>
    <t>UNLISTED RESPIRATORY PROC DIAG NUCLEAR M</t>
  </si>
  <si>
    <t>VENOG RENAL BILAT SELECT SUPERVIS/INTERP</t>
  </si>
  <si>
    <t>INF AGT-IMUNOASY OPT1;CHLAMYDIA TRACHOMA</t>
  </si>
  <si>
    <t xml:space="preserve">ANGIOG SELECT EA ADDIT VESSEL S&amp;I       </t>
  </si>
  <si>
    <t>VIT B-12 ABSORP STDY;W/O INTRINSIC FACTR</t>
  </si>
  <si>
    <t xml:space="preserve">HELICOBACTER PYLORI BREATH TEST ORG ADM </t>
  </si>
  <si>
    <t>RADIO EXAM NASAL BONE COMP MIN THREE VIE</t>
  </si>
  <si>
    <t>ACUTE GASTROINTESTIONAL BLOOD LOSS IMAGI</t>
  </si>
  <si>
    <t>MAGNETIC RESONANCE,SPINE,THORAS,WO CONTR</t>
  </si>
  <si>
    <t>TISSUE CULT CHROMOSOME ANALYS SKIN-TISSU</t>
  </si>
  <si>
    <t>INF AG-NU AC;CHLAMY PNEUMON,AMP PROB TEC</t>
  </si>
  <si>
    <t>MAG RESON ANGIOGR,NECK;W/CONTRAST MATERI</t>
  </si>
  <si>
    <t xml:space="preserve">ANTIBODY; BORRELIA (RELAPSING FEVER)    </t>
  </si>
  <si>
    <t xml:space="preserve">CALCIFEDIOL (25-OH VITAMIN D-3)         </t>
  </si>
  <si>
    <t xml:space="preserve">BRAIN IMAGING VASCULAR FLOW STUDY ONLY  </t>
  </si>
  <si>
    <t>BLD,OCCULT,PEROXIDASE ACTIV,QUAL,OTH SOU</t>
  </si>
  <si>
    <t xml:space="preserve">KIDNEY IMAGING STATIC ONLY              </t>
  </si>
  <si>
    <t xml:space="preserve">FERRITIN                                </t>
  </si>
  <si>
    <t xml:space="preserve">RADIO EXAM TEETH SING VIEW              </t>
  </si>
  <si>
    <t xml:space="preserve">IV INF,TX,PROPH,DX,INITIAL;UP TO 1 HOUR </t>
  </si>
  <si>
    <t xml:space="preserve">HYSTOSALPINGOGRAPHY SUPERVIS/INTERP     </t>
  </si>
  <si>
    <t xml:space="preserve">COMPUT TOMO LUMBAR SPINE W/CONTR MEDIA  </t>
  </si>
  <si>
    <t xml:space="preserve">CHROSOME ANALYS SITU AMNIOTIC FLUID     </t>
  </si>
  <si>
    <t xml:space="preserve">ULTRASOUND,PREGNANT UTERUS,TRANSVAGINAL </t>
  </si>
  <si>
    <t xml:space="preserve">ESTRIOL                                 </t>
  </si>
  <si>
    <t xml:space="preserve">LEV IV-SURG PATH,GROSS &amp; MICROSCOPIC EX </t>
  </si>
  <si>
    <t>THERAPEUTIC RADIOLOGY SIMULATION-AIDED FIELD SETTING</t>
  </si>
  <si>
    <t>BASIC RADIATION DOSIMETRY CALCULATION</t>
  </si>
  <si>
    <t>RADIATION TREATMENT DELIVERY, 6-10 MeV</t>
  </si>
  <si>
    <t>RADIATION TREATMENT DELIVERY, 11-19 MeV</t>
  </si>
  <si>
    <t>THERAPEUTIC RADIATION PORT FILM(S)</t>
  </si>
  <si>
    <t>Brachytherapy, Isodose</t>
  </si>
  <si>
    <t>Spec Med Rad Physics Consult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</si>
</sst>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 wrapText="1"/>
    </xf>
    <xf numFmtId="164" fontId="1" fillId="33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6"/>
  <sheetViews>
    <sheetView tabSelected="1" zoomScalePageLayoutView="0" workbookViewId="0" topLeftCell="A443">
      <selection activeCell="C447" sqref="C447"/>
    </sheetView>
  </sheetViews>
  <sheetFormatPr defaultColWidth="9.140625" defaultRowHeight="12.75"/>
  <cols>
    <col min="1" max="1" width="10.140625" style="1" bestFit="1" customWidth="1"/>
    <col min="2" max="2" width="44.57421875" style="1" customWidth="1"/>
    <col min="3" max="3" width="8.7109375" style="2" bestFit="1" customWidth="1"/>
    <col min="4" max="16384" width="9.140625" style="1" customWidth="1"/>
  </cols>
  <sheetData>
    <row r="1" spans="1:3" ht="22.5">
      <c r="A1" s="3" t="s">
        <v>1352</v>
      </c>
      <c r="B1" s="3" t="s">
        <v>1353</v>
      </c>
      <c r="C1" s="4" t="s">
        <v>1354</v>
      </c>
    </row>
    <row r="2" spans="1:3" ht="11.25">
      <c r="A2" s="1" t="str">
        <f>"57155"</f>
        <v>57155</v>
      </c>
      <c r="B2" s="1" t="s">
        <v>853</v>
      </c>
      <c r="C2" s="2">
        <v>257.15</v>
      </c>
    </row>
    <row r="3" spans="1:3" ht="11.25">
      <c r="A3" s="1" t="str">
        <f>"59001"</f>
        <v>59001</v>
      </c>
      <c r="B3" s="1" t="s">
        <v>939</v>
      </c>
      <c r="C3" s="2">
        <v>113.15</v>
      </c>
    </row>
    <row r="4" spans="1:3" ht="11.25">
      <c r="A4" s="1" t="str">
        <f>"59070"</f>
        <v>59070</v>
      </c>
      <c r="B4" s="1" t="s">
        <v>763</v>
      </c>
      <c r="C4" s="2">
        <v>256.62</v>
      </c>
    </row>
    <row r="5" spans="1:3" ht="11.25">
      <c r="A5" s="1" t="str">
        <f>"59074"</f>
        <v>59074</v>
      </c>
      <c r="B5" s="1" t="s">
        <v>751</v>
      </c>
      <c r="C5" s="2">
        <v>244.16</v>
      </c>
    </row>
    <row r="6" spans="1:3" ht="11.25">
      <c r="A6" s="1" t="str">
        <f>"59076"</f>
        <v>59076</v>
      </c>
      <c r="B6" s="1" t="s">
        <v>52</v>
      </c>
      <c r="C6" s="2">
        <v>307</v>
      </c>
    </row>
    <row r="7" spans="1:3" ht="11.25">
      <c r="A7" s="1" t="str">
        <f>"63295"</f>
        <v>63295</v>
      </c>
      <c r="B7" s="1" t="s">
        <v>1490</v>
      </c>
      <c r="C7" s="2">
        <v>125</v>
      </c>
    </row>
    <row r="8" spans="1:3" ht="11.25">
      <c r="A8" s="1" t="str">
        <f>"70010"</f>
        <v>70010</v>
      </c>
      <c r="B8" s="1" t="s">
        <v>989</v>
      </c>
      <c r="C8" s="2">
        <v>221.86</v>
      </c>
    </row>
    <row r="9" spans="1:3" ht="11.25">
      <c r="A9" s="1" t="str">
        <f>"70015"</f>
        <v>70015</v>
      </c>
      <c r="B9" s="1" t="s">
        <v>1024</v>
      </c>
      <c r="C9" s="2">
        <v>150.82</v>
      </c>
    </row>
    <row r="10" spans="1:3" ht="11.25">
      <c r="A10" s="1" t="str">
        <f>"70030"</f>
        <v>70030</v>
      </c>
      <c r="B10" s="1" t="s">
        <v>1348</v>
      </c>
      <c r="C10" s="2">
        <v>22.06</v>
      </c>
    </row>
    <row r="11" spans="1:3" ht="11.25">
      <c r="A11" s="1" t="str">
        <f>"70100"</f>
        <v>70100</v>
      </c>
      <c r="B11" s="1" t="s">
        <v>744</v>
      </c>
      <c r="C11" s="2">
        <v>27.4</v>
      </c>
    </row>
    <row r="12" spans="1:3" ht="11.25">
      <c r="A12" s="1" t="str">
        <f>"70110"</f>
        <v>70110</v>
      </c>
      <c r="B12" s="1" t="s">
        <v>1342</v>
      </c>
      <c r="C12" s="2">
        <v>32.42</v>
      </c>
    </row>
    <row r="13" spans="1:3" ht="11.25">
      <c r="A13" s="1" t="str">
        <f>"70120"</f>
        <v>70120</v>
      </c>
      <c r="B13" s="1" t="s">
        <v>850</v>
      </c>
      <c r="C13" s="2">
        <v>32.42</v>
      </c>
    </row>
    <row r="14" spans="1:3" ht="11.25">
      <c r="A14" s="1" t="str">
        <f>"70130"</f>
        <v>70130</v>
      </c>
      <c r="B14" s="1" t="s">
        <v>1334</v>
      </c>
      <c r="C14" s="2">
        <v>41.21</v>
      </c>
    </row>
    <row r="15" spans="1:3" ht="11.25">
      <c r="A15" s="1" t="str">
        <f>"70134"</f>
        <v>70134</v>
      </c>
      <c r="B15" s="1" t="s">
        <v>1509</v>
      </c>
      <c r="C15" s="2">
        <v>38.55</v>
      </c>
    </row>
    <row r="16" spans="1:3" ht="11.25">
      <c r="A16" s="1" t="str">
        <f>"70140"</f>
        <v>70140</v>
      </c>
      <c r="B16" s="1" t="s">
        <v>721</v>
      </c>
      <c r="C16" s="2">
        <v>32.42</v>
      </c>
    </row>
    <row r="17" spans="1:3" ht="11.25">
      <c r="A17" s="1" t="str">
        <f>"70150"</f>
        <v>70150</v>
      </c>
      <c r="B17" s="1" t="s">
        <v>1438</v>
      </c>
      <c r="C17" s="2">
        <v>41.21</v>
      </c>
    </row>
    <row r="18" spans="1:3" ht="11.25">
      <c r="A18" s="1" t="str">
        <f>"70160"</f>
        <v>70160</v>
      </c>
      <c r="B18" s="1" t="s">
        <v>1736</v>
      </c>
      <c r="C18" s="2">
        <v>27.4</v>
      </c>
    </row>
    <row r="19" spans="1:3" ht="11.25">
      <c r="A19" s="1" t="str">
        <f>"70170"</f>
        <v>70170</v>
      </c>
      <c r="B19" s="1" t="s">
        <v>1268</v>
      </c>
      <c r="C19" s="2">
        <v>49.45</v>
      </c>
    </row>
    <row r="20" spans="1:3" ht="11.25">
      <c r="A20" s="1" t="str">
        <f>"70190"</f>
        <v>70190</v>
      </c>
      <c r="B20" s="1" t="s">
        <v>921</v>
      </c>
      <c r="C20" s="2">
        <v>32.42</v>
      </c>
    </row>
    <row r="21" spans="1:3" ht="11.25">
      <c r="A21" s="1" t="str">
        <f>"70200"</f>
        <v>70200</v>
      </c>
      <c r="B21" s="1" t="s">
        <v>65</v>
      </c>
      <c r="C21" s="2">
        <v>41.21</v>
      </c>
    </row>
    <row r="22" spans="1:3" ht="11.25">
      <c r="A22" s="1" t="str">
        <f>"70210"</f>
        <v>70210</v>
      </c>
      <c r="B22" s="1" t="s">
        <v>1716</v>
      </c>
      <c r="C22" s="2">
        <v>32.42</v>
      </c>
    </row>
    <row r="23" spans="1:3" ht="11.25">
      <c r="A23" s="1" t="str">
        <f>"70220"</f>
        <v>70220</v>
      </c>
      <c r="B23" s="1" t="s">
        <v>410</v>
      </c>
      <c r="C23" s="2">
        <v>41.21</v>
      </c>
    </row>
    <row r="24" spans="1:3" ht="11.25">
      <c r="A24" s="1" t="str">
        <f>"70240"</f>
        <v>70240</v>
      </c>
      <c r="B24" s="1" t="s">
        <v>1364</v>
      </c>
      <c r="C24" s="2">
        <v>22.06</v>
      </c>
    </row>
    <row r="25" spans="1:3" ht="11.25">
      <c r="A25" s="1" t="str">
        <f>"70250"</f>
        <v>70250</v>
      </c>
      <c r="B25" s="1" t="s">
        <v>522</v>
      </c>
      <c r="C25" s="2">
        <v>32.42</v>
      </c>
    </row>
    <row r="26" spans="1:3" ht="11.25">
      <c r="A26" s="1" t="str">
        <f>"70260"</f>
        <v>70260</v>
      </c>
      <c r="B26" s="1" t="s">
        <v>1205</v>
      </c>
      <c r="C26" s="2">
        <v>46.78</v>
      </c>
    </row>
    <row r="27" spans="1:3" ht="11.25">
      <c r="A27" s="1" t="str">
        <f>"70300"</f>
        <v>70300</v>
      </c>
      <c r="B27" s="1" t="s">
        <v>1748</v>
      </c>
      <c r="C27" s="2">
        <v>13.81</v>
      </c>
    </row>
    <row r="28" spans="1:3" ht="11.25">
      <c r="A28" s="1" t="str">
        <f>"70310"</f>
        <v>70310</v>
      </c>
      <c r="B28" s="1" t="s">
        <v>488</v>
      </c>
      <c r="C28" s="2">
        <v>22.06</v>
      </c>
    </row>
    <row r="29" spans="1:3" ht="11.25">
      <c r="A29" s="1" t="str">
        <f>"70320"</f>
        <v>70320</v>
      </c>
      <c r="B29" s="1" t="s">
        <v>1031</v>
      </c>
      <c r="C29" s="2">
        <v>41.21</v>
      </c>
    </row>
    <row r="30" spans="1:3" ht="11.25">
      <c r="A30" s="1" t="str">
        <f>"70328"</f>
        <v>70328</v>
      </c>
      <c r="B30" s="1" t="s">
        <v>906</v>
      </c>
      <c r="C30" s="2">
        <v>25.77</v>
      </c>
    </row>
    <row r="31" spans="1:3" ht="11.25">
      <c r="A31" s="1" t="str">
        <f>"70330"</f>
        <v>70330</v>
      </c>
      <c r="B31" s="1" t="s">
        <v>1117</v>
      </c>
      <c r="C31" s="2">
        <v>43.88</v>
      </c>
    </row>
    <row r="32" spans="1:3" ht="11.25">
      <c r="A32" s="1" t="str">
        <f>"70332"</f>
        <v>70332</v>
      </c>
      <c r="B32" s="1" t="s">
        <v>282</v>
      </c>
      <c r="C32" s="2">
        <v>109.81</v>
      </c>
    </row>
    <row r="33" spans="1:3" ht="11.25">
      <c r="A33" s="1" t="str">
        <f>"70336"</f>
        <v>70336</v>
      </c>
      <c r="B33" s="1" t="s">
        <v>292</v>
      </c>
      <c r="C33" s="2">
        <v>585.7</v>
      </c>
    </row>
    <row r="34" spans="1:3" ht="11.25">
      <c r="A34" s="1" t="str">
        <f>"70350"</f>
        <v>70350</v>
      </c>
      <c r="B34" s="1" t="s">
        <v>1486</v>
      </c>
      <c r="C34" s="2">
        <v>19.69</v>
      </c>
    </row>
    <row r="35" spans="1:3" ht="11.25">
      <c r="A35" s="1" t="str">
        <f>"70355"</f>
        <v>70355</v>
      </c>
      <c r="B35" s="1" t="s">
        <v>249</v>
      </c>
      <c r="C35" s="2">
        <v>29.77</v>
      </c>
    </row>
    <row r="36" spans="1:3" ht="11.25">
      <c r="A36" s="1" t="str">
        <f>"70360"</f>
        <v>70360</v>
      </c>
      <c r="B36" s="1" t="s">
        <v>1406</v>
      </c>
      <c r="C36" s="2">
        <v>22.06</v>
      </c>
    </row>
    <row r="37" spans="1:3" ht="11.25">
      <c r="A37" s="1" t="str">
        <f>"70370"</f>
        <v>70370</v>
      </c>
      <c r="B37" s="1" t="s">
        <v>197</v>
      </c>
      <c r="C37" s="2">
        <v>68.05</v>
      </c>
    </row>
    <row r="38" spans="1:3" ht="11.25">
      <c r="A38" s="1" t="str">
        <f>"70371"</f>
        <v>70371</v>
      </c>
      <c r="B38" s="1" t="s">
        <v>1444</v>
      </c>
      <c r="C38" s="2">
        <v>109.81</v>
      </c>
    </row>
    <row r="39" spans="1:3" ht="11.25">
      <c r="A39" s="1" t="str">
        <f>"70373"</f>
        <v>70373</v>
      </c>
      <c r="B39" s="1" t="s">
        <v>550</v>
      </c>
      <c r="C39" s="2">
        <v>93.31</v>
      </c>
    </row>
    <row r="40" spans="1:3" ht="11.25">
      <c r="A40" s="1" t="str">
        <f>"70380"</f>
        <v>70380</v>
      </c>
      <c r="B40" s="1" t="s">
        <v>1025</v>
      </c>
      <c r="C40" s="2">
        <v>35.1</v>
      </c>
    </row>
    <row r="41" spans="1:3" ht="11.25">
      <c r="A41" s="1" t="str">
        <f>"70390"</f>
        <v>70390</v>
      </c>
      <c r="B41" s="1" t="s">
        <v>1448</v>
      </c>
      <c r="C41" s="2">
        <v>93.31</v>
      </c>
    </row>
    <row r="42" spans="1:3" ht="11.25">
      <c r="A42" s="1" t="str">
        <f>"70450"</f>
        <v>70450</v>
      </c>
      <c r="B42" s="1" t="s">
        <v>452</v>
      </c>
      <c r="C42" s="2">
        <v>246.97</v>
      </c>
    </row>
    <row r="43" spans="1:3" ht="11.25">
      <c r="A43" s="1" t="str">
        <f>"70460"</f>
        <v>70460</v>
      </c>
      <c r="B43" s="1" t="s">
        <v>741</v>
      </c>
      <c r="C43" s="2">
        <v>295.89</v>
      </c>
    </row>
    <row r="44" spans="1:3" ht="11.25">
      <c r="A44" s="1" t="str">
        <f>"70470"</f>
        <v>70470</v>
      </c>
      <c r="B44" s="1" t="s">
        <v>266</v>
      </c>
      <c r="C44" s="2">
        <v>369.82</v>
      </c>
    </row>
    <row r="45" spans="1:3" ht="11.25">
      <c r="A45" s="1" t="str">
        <f>"70480"</f>
        <v>70480</v>
      </c>
      <c r="B45" s="1" t="s">
        <v>1043</v>
      </c>
      <c r="C45" s="2">
        <v>246.97</v>
      </c>
    </row>
    <row r="46" spans="1:3" ht="11.25">
      <c r="A46" s="1" t="str">
        <f>"70481"</f>
        <v>70481</v>
      </c>
      <c r="B46" s="1" t="s">
        <v>118</v>
      </c>
      <c r="C46" s="2">
        <v>295.89</v>
      </c>
    </row>
    <row r="47" spans="1:3" ht="11.25">
      <c r="A47" s="1" t="str">
        <f>"70482"</f>
        <v>70482</v>
      </c>
      <c r="B47" s="1" t="s">
        <v>1240</v>
      </c>
      <c r="C47" s="2">
        <v>369.82</v>
      </c>
    </row>
    <row r="48" spans="1:3" ht="11.25">
      <c r="A48" s="1" t="str">
        <f>"70486"</f>
        <v>70486</v>
      </c>
      <c r="B48" s="1" t="s">
        <v>1020</v>
      </c>
      <c r="C48" s="2">
        <v>246.97</v>
      </c>
    </row>
    <row r="49" spans="1:3" ht="11.25">
      <c r="A49" s="1" t="str">
        <f>"70487"</f>
        <v>70487</v>
      </c>
      <c r="B49" s="1" t="s">
        <v>514</v>
      </c>
      <c r="C49" s="2">
        <v>295.89</v>
      </c>
    </row>
    <row r="50" spans="1:3" ht="11.25">
      <c r="A50" s="1" t="str">
        <f>"70488"</f>
        <v>70488</v>
      </c>
      <c r="B50" s="1" t="s">
        <v>854</v>
      </c>
      <c r="C50" s="2">
        <v>369.82</v>
      </c>
    </row>
    <row r="51" spans="1:3" ht="11.25">
      <c r="A51" s="1" t="str">
        <f>"70490"</f>
        <v>70490</v>
      </c>
      <c r="B51" s="1" t="s">
        <v>1067</v>
      </c>
      <c r="C51" s="2">
        <v>246.97</v>
      </c>
    </row>
    <row r="52" spans="1:3" ht="11.25">
      <c r="A52" s="1" t="str">
        <f>"70491"</f>
        <v>70491</v>
      </c>
      <c r="B52" s="1" t="s">
        <v>831</v>
      </c>
      <c r="C52" s="2">
        <v>295.89</v>
      </c>
    </row>
    <row r="53" spans="1:3" ht="11.25">
      <c r="A53" s="1" t="str">
        <f>"70492"</f>
        <v>70492</v>
      </c>
      <c r="B53" s="1" t="s">
        <v>258</v>
      </c>
      <c r="C53" s="2">
        <v>369.82</v>
      </c>
    </row>
    <row r="54" spans="1:3" ht="11.25">
      <c r="A54" s="1" t="str">
        <f>"70496"</f>
        <v>70496</v>
      </c>
      <c r="B54" s="1" t="s">
        <v>1624</v>
      </c>
      <c r="C54" s="2">
        <v>587.42</v>
      </c>
    </row>
    <row r="55" spans="1:3" ht="11.25">
      <c r="A55" s="1" t="str">
        <f>"70498"</f>
        <v>70498</v>
      </c>
      <c r="B55" s="1" t="s">
        <v>725</v>
      </c>
      <c r="C55" s="2">
        <v>587.42</v>
      </c>
    </row>
    <row r="56" spans="1:3" ht="11.25">
      <c r="A56" s="1" t="str">
        <f>"70540"</f>
        <v>70540</v>
      </c>
      <c r="B56" s="1" t="s">
        <v>1414</v>
      </c>
      <c r="C56" s="2">
        <v>585.7</v>
      </c>
    </row>
    <row r="57" spans="1:3" ht="11.25">
      <c r="A57" s="1" t="str">
        <f>"70542"</f>
        <v>70542</v>
      </c>
      <c r="B57" s="1" t="s">
        <v>1343</v>
      </c>
      <c r="C57" s="2">
        <v>911.97</v>
      </c>
    </row>
    <row r="58" spans="1:3" ht="11.25">
      <c r="A58" s="1" t="str">
        <f>"70543"</f>
        <v>70543</v>
      </c>
      <c r="B58" s="1" t="s">
        <v>414</v>
      </c>
      <c r="C58" s="2">
        <v>1636.56</v>
      </c>
    </row>
    <row r="59" spans="1:3" ht="11.25">
      <c r="A59" s="1" t="str">
        <f>"70544"</f>
        <v>70544</v>
      </c>
      <c r="B59" s="1" t="s">
        <v>482</v>
      </c>
      <c r="C59" s="2">
        <v>783.86</v>
      </c>
    </row>
    <row r="60" spans="1:3" ht="11.25">
      <c r="A60" s="1" t="str">
        <f>"70545"</f>
        <v>70545</v>
      </c>
      <c r="B60" s="1" t="s">
        <v>1712</v>
      </c>
      <c r="C60" s="2">
        <v>783.86</v>
      </c>
    </row>
    <row r="61" spans="1:3" ht="11.25">
      <c r="A61" s="1" t="str">
        <f>"70546"</f>
        <v>70546</v>
      </c>
      <c r="B61" s="1" t="s">
        <v>8</v>
      </c>
      <c r="C61" s="2">
        <v>1504.77</v>
      </c>
    </row>
    <row r="62" spans="1:3" ht="11.25">
      <c r="A62" s="1" t="str">
        <f>"70547"</f>
        <v>70547</v>
      </c>
      <c r="B62" s="1" t="s">
        <v>343</v>
      </c>
      <c r="C62" s="2">
        <v>783.86</v>
      </c>
    </row>
    <row r="63" spans="1:3" ht="11.25">
      <c r="A63" s="1" t="str">
        <f>"70548"</f>
        <v>70548</v>
      </c>
      <c r="B63" s="1" t="s">
        <v>1741</v>
      </c>
      <c r="C63" s="2">
        <v>783.86</v>
      </c>
    </row>
    <row r="64" spans="1:3" ht="11.25">
      <c r="A64" s="1" t="str">
        <f>"70549"</f>
        <v>70549</v>
      </c>
      <c r="B64" s="1" t="s">
        <v>1392</v>
      </c>
      <c r="C64" s="2">
        <v>1504.77</v>
      </c>
    </row>
    <row r="65" spans="1:3" ht="11.25">
      <c r="A65" s="1" t="str">
        <f>"70551"</f>
        <v>70551</v>
      </c>
      <c r="B65" s="1" t="s">
        <v>357</v>
      </c>
      <c r="C65" s="2">
        <v>585.7</v>
      </c>
    </row>
    <row r="66" spans="1:3" ht="11.25">
      <c r="A66" s="1" t="str">
        <f>"70552"</f>
        <v>70552</v>
      </c>
      <c r="B66" s="1" t="s">
        <v>214</v>
      </c>
      <c r="C66" s="2">
        <v>702.71</v>
      </c>
    </row>
    <row r="67" spans="1:3" ht="11.25">
      <c r="A67" s="1" t="str">
        <f>"70553"</f>
        <v>70553</v>
      </c>
      <c r="B67" s="1" t="s">
        <v>1299</v>
      </c>
      <c r="C67" s="2">
        <v>1300.9</v>
      </c>
    </row>
    <row r="68" spans="1:3" ht="11.25">
      <c r="A68" s="1" t="str">
        <f>"70554"</f>
        <v>70554</v>
      </c>
      <c r="B68" s="1" t="s">
        <v>699</v>
      </c>
      <c r="C68" s="2">
        <v>74.26</v>
      </c>
    </row>
    <row r="69" spans="1:3" ht="11.25">
      <c r="A69" s="1" t="str">
        <f>"70555"</f>
        <v>70555</v>
      </c>
      <c r="B69" s="1" t="s">
        <v>1114</v>
      </c>
      <c r="C69" s="2">
        <v>88.99</v>
      </c>
    </row>
    <row r="70" spans="1:3" ht="11.25">
      <c r="A70" s="1" t="str">
        <f>"70557"</f>
        <v>70557</v>
      </c>
      <c r="B70" s="1" t="s">
        <v>97</v>
      </c>
      <c r="C70" s="2">
        <v>96.9</v>
      </c>
    </row>
    <row r="71" spans="1:3" ht="11.25">
      <c r="A71" s="1" t="str">
        <f>"70558"</f>
        <v>70558</v>
      </c>
      <c r="B71" s="1" t="s">
        <v>750</v>
      </c>
      <c r="C71" s="2">
        <v>107.02</v>
      </c>
    </row>
    <row r="72" spans="1:3" ht="11.25">
      <c r="A72" s="1" t="str">
        <f>"70559"</f>
        <v>70559</v>
      </c>
      <c r="B72" s="1" t="s">
        <v>1047</v>
      </c>
      <c r="C72" s="2">
        <v>107.2</v>
      </c>
    </row>
    <row r="73" spans="1:3" ht="11.25">
      <c r="A73" s="1" t="str">
        <f>"71010"</f>
        <v>71010</v>
      </c>
      <c r="B73" s="1" t="s">
        <v>354</v>
      </c>
      <c r="C73" s="2">
        <v>24.71</v>
      </c>
    </row>
    <row r="74" spans="1:3" ht="11.25">
      <c r="A74" s="1" t="str">
        <f>"71015"</f>
        <v>71015</v>
      </c>
      <c r="B74" s="1" t="s">
        <v>574</v>
      </c>
      <c r="C74" s="2">
        <v>27.4</v>
      </c>
    </row>
    <row r="75" spans="1:3" ht="11.25">
      <c r="A75" s="1" t="str">
        <f>"71020"</f>
        <v>71020</v>
      </c>
      <c r="B75" s="1" t="s">
        <v>1669</v>
      </c>
      <c r="C75" s="2">
        <v>32.42</v>
      </c>
    </row>
    <row r="76" spans="1:3" ht="11.25">
      <c r="A76" s="1" t="str">
        <f>"71021"</f>
        <v>71021</v>
      </c>
      <c r="B76" s="1" t="s">
        <v>324</v>
      </c>
      <c r="C76" s="2">
        <v>38.55</v>
      </c>
    </row>
    <row r="77" spans="1:3" ht="11.25">
      <c r="A77" s="1" t="str">
        <f>"71022"</f>
        <v>71022</v>
      </c>
      <c r="B77" s="1" t="s">
        <v>840</v>
      </c>
      <c r="C77" s="2">
        <v>38.55</v>
      </c>
    </row>
    <row r="78" spans="1:3" ht="11.25">
      <c r="A78" s="1" t="str">
        <f>"71023"</f>
        <v>71023</v>
      </c>
      <c r="B78" s="1" t="s">
        <v>1705</v>
      </c>
      <c r="C78" s="2">
        <v>41.21</v>
      </c>
    </row>
    <row r="79" spans="1:3" ht="11.25">
      <c r="A79" s="1" t="str">
        <f>"71030"</f>
        <v>71030</v>
      </c>
      <c r="B79" s="1" t="s">
        <v>657</v>
      </c>
      <c r="C79" s="2">
        <v>41.21</v>
      </c>
    </row>
    <row r="80" spans="1:3" ht="11.25">
      <c r="A80" s="1" t="str">
        <f>"71034"</f>
        <v>71034</v>
      </c>
      <c r="B80" s="1" t="s">
        <v>672</v>
      </c>
      <c r="C80" s="2">
        <v>75.25</v>
      </c>
    </row>
    <row r="81" spans="1:3" ht="11.25">
      <c r="A81" s="1" t="str">
        <f>"71035"</f>
        <v>71035</v>
      </c>
      <c r="B81" s="1" t="s">
        <v>38</v>
      </c>
      <c r="C81" s="2">
        <v>27.4</v>
      </c>
    </row>
    <row r="82" spans="1:3" ht="11.25">
      <c r="A82" s="1" t="str">
        <f>"71040"</f>
        <v>71040</v>
      </c>
      <c r="B82" s="1" t="s">
        <v>64</v>
      </c>
      <c r="C82" s="2">
        <v>84.51</v>
      </c>
    </row>
    <row r="83" spans="1:3" ht="11.25">
      <c r="A83" s="1" t="str">
        <f>"71060"</f>
        <v>71060</v>
      </c>
      <c r="B83" s="1" t="s">
        <v>1460</v>
      </c>
      <c r="C83" s="2">
        <v>119.7</v>
      </c>
    </row>
    <row r="84" spans="1:3" ht="11.25">
      <c r="A84" s="1" t="str">
        <f>"71090"</f>
        <v>71090</v>
      </c>
      <c r="B84" s="1" t="s">
        <v>246</v>
      </c>
      <c r="C84" s="2">
        <v>87.98</v>
      </c>
    </row>
    <row r="85" spans="1:3" ht="11.25">
      <c r="A85" s="1" t="str">
        <f>"71100"</f>
        <v>71100</v>
      </c>
      <c r="B85" s="1" t="s">
        <v>1591</v>
      </c>
      <c r="C85" s="2">
        <v>29.77</v>
      </c>
    </row>
    <row r="86" spans="1:3" ht="11.25">
      <c r="A86" s="1" t="str">
        <f>"71101"</f>
        <v>71101</v>
      </c>
      <c r="B86" s="1" t="s">
        <v>322</v>
      </c>
      <c r="C86" s="2">
        <v>35.1</v>
      </c>
    </row>
    <row r="87" spans="1:3" ht="11.25">
      <c r="A87" s="1" t="str">
        <f>"71110"</f>
        <v>71110</v>
      </c>
      <c r="B87" s="1" t="s">
        <v>1082</v>
      </c>
      <c r="C87" s="2">
        <v>41.21</v>
      </c>
    </row>
    <row r="88" spans="1:3" ht="11.25">
      <c r="A88" s="1" t="str">
        <f>"71111"</f>
        <v>71111</v>
      </c>
      <c r="B88" s="1" t="s">
        <v>1239</v>
      </c>
      <c r="C88" s="2">
        <v>46.78</v>
      </c>
    </row>
    <row r="89" spans="1:3" ht="11.25">
      <c r="A89" s="1" t="str">
        <f>"71120"</f>
        <v>71120</v>
      </c>
      <c r="B89" s="1" t="s">
        <v>1650</v>
      </c>
      <c r="C89" s="2">
        <v>34.09</v>
      </c>
    </row>
    <row r="90" spans="1:3" ht="11.25">
      <c r="A90" s="1" t="str">
        <f>"71130"</f>
        <v>71130</v>
      </c>
      <c r="B90" s="1" t="s">
        <v>605</v>
      </c>
      <c r="C90" s="2">
        <v>36.7</v>
      </c>
    </row>
    <row r="91" spans="1:3" ht="11.25">
      <c r="A91" s="1" t="str">
        <f>"71250"</f>
        <v>71250</v>
      </c>
      <c r="B91" s="1" t="s">
        <v>1614</v>
      </c>
      <c r="C91" s="2">
        <v>308.95</v>
      </c>
    </row>
    <row r="92" spans="1:3" ht="11.25">
      <c r="A92" s="1" t="str">
        <f>"71260"</f>
        <v>71260</v>
      </c>
      <c r="B92" s="1" t="s">
        <v>775</v>
      </c>
      <c r="C92" s="2">
        <v>369.82</v>
      </c>
    </row>
    <row r="93" spans="1:3" ht="11.25">
      <c r="A93" s="1" t="str">
        <f>"71270"</f>
        <v>71270</v>
      </c>
      <c r="B93" s="1" t="s">
        <v>1002</v>
      </c>
      <c r="C93" s="2">
        <v>462.12</v>
      </c>
    </row>
    <row r="94" spans="1:3" ht="11.25">
      <c r="A94" s="1" t="str">
        <f>"71275"</f>
        <v>71275</v>
      </c>
      <c r="B94" s="1" t="s">
        <v>247</v>
      </c>
      <c r="C94" s="2">
        <v>641.99</v>
      </c>
    </row>
    <row r="95" spans="1:3" ht="11.25">
      <c r="A95" s="1" t="str">
        <f>"71550"</f>
        <v>71550</v>
      </c>
      <c r="B95" s="1" t="s">
        <v>88</v>
      </c>
      <c r="C95" s="2">
        <v>585.7</v>
      </c>
    </row>
    <row r="96" spans="1:3" ht="11.25">
      <c r="A96" s="1" t="str">
        <f>"71551"</f>
        <v>71551</v>
      </c>
      <c r="B96" s="1" t="s">
        <v>1457</v>
      </c>
      <c r="C96" s="2">
        <v>923.81</v>
      </c>
    </row>
    <row r="97" spans="1:3" ht="11.25">
      <c r="A97" s="1" t="str">
        <f>"71552"</f>
        <v>71552</v>
      </c>
      <c r="B97" s="1" t="s">
        <v>640</v>
      </c>
      <c r="C97" s="2">
        <v>1645.26</v>
      </c>
    </row>
    <row r="98" spans="1:3" ht="11.25">
      <c r="A98" s="1" t="str">
        <f>"71555"</f>
        <v>71555</v>
      </c>
      <c r="B98" s="1" t="s">
        <v>226</v>
      </c>
      <c r="C98" s="2">
        <v>585.7</v>
      </c>
    </row>
    <row r="99" spans="1:3" ht="11.25">
      <c r="A99" s="1" t="str">
        <f>"72010"</f>
        <v>72010</v>
      </c>
      <c r="B99" s="1" t="s">
        <v>390</v>
      </c>
      <c r="C99" s="2">
        <v>53.73</v>
      </c>
    </row>
    <row r="100" spans="1:3" ht="11.25">
      <c r="A100" s="1" t="str">
        <f>"72020"</f>
        <v>72020</v>
      </c>
      <c r="B100" s="1" t="s">
        <v>491</v>
      </c>
      <c r="C100" s="2">
        <v>22.06</v>
      </c>
    </row>
    <row r="101" spans="1:3" ht="11.25">
      <c r="A101" s="1" t="str">
        <f>"72040"</f>
        <v>72040</v>
      </c>
      <c r="B101" s="1" t="s">
        <v>25</v>
      </c>
      <c r="C101" s="2">
        <v>31.37</v>
      </c>
    </row>
    <row r="102" spans="1:3" ht="11.25">
      <c r="A102" s="1" t="str">
        <f>"72050"</f>
        <v>72050</v>
      </c>
      <c r="B102" s="1" t="s">
        <v>314</v>
      </c>
      <c r="C102" s="2">
        <v>46.78</v>
      </c>
    </row>
    <row r="103" spans="1:3" ht="11.25">
      <c r="A103" s="1" t="str">
        <f>"72052"</f>
        <v>72052</v>
      </c>
      <c r="B103" s="1" t="s">
        <v>1045</v>
      </c>
      <c r="C103" s="2">
        <v>59.27</v>
      </c>
    </row>
    <row r="104" spans="1:3" ht="11.25">
      <c r="A104" s="1" t="str">
        <f>"72069"</f>
        <v>72069</v>
      </c>
      <c r="B104" s="1" t="s">
        <v>170</v>
      </c>
      <c r="C104" s="2">
        <v>27.4</v>
      </c>
    </row>
    <row r="105" spans="1:3" ht="11.25">
      <c r="A105" s="1" t="str">
        <f>"72070"</f>
        <v>72070</v>
      </c>
      <c r="B105" s="1" t="s">
        <v>449</v>
      </c>
      <c r="C105" s="2">
        <v>34.09</v>
      </c>
    </row>
    <row r="106" spans="1:3" ht="11.25">
      <c r="A106" s="1" t="str">
        <f>"72072"</f>
        <v>72072</v>
      </c>
      <c r="B106" s="1" t="s">
        <v>81</v>
      </c>
      <c r="C106" s="2">
        <v>38.55</v>
      </c>
    </row>
    <row r="107" spans="1:3" ht="11.25">
      <c r="A107" s="1" t="str">
        <f>"72074"</f>
        <v>72074</v>
      </c>
      <c r="B107" s="1" t="s">
        <v>1656</v>
      </c>
      <c r="C107" s="2">
        <v>47.83</v>
      </c>
    </row>
    <row r="108" spans="1:3" ht="11.25">
      <c r="A108" s="1" t="str">
        <f>"72080"</f>
        <v>72080</v>
      </c>
      <c r="B108" s="1" t="s">
        <v>979</v>
      </c>
      <c r="C108" s="2">
        <v>35.1</v>
      </c>
    </row>
    <row r="109" spans="1:3" ht="11.25">
      <c r="A109" s="1" t="str">
        <f>"72090"</f>
        <v>72090</v>
      </c>
      <c r="B109" s="1" t="s">
        <v>42</v>
      </c>
      <c r="C109" s="2">
        <v>35.1</v>
      </c>
    </row>
    <row r="110" spans="1:3" ht="11.25">
      <c r="A110" s="1" t="str">
        <f>"72100"</f>
        <v>72100</v>
      </c>
      <c r="B110" s="1" t="s">
        <v>248</v>
      </c>
      <c r="C110" s="2">
        <v>35.1</v>
      </c>
    </row>
    <row r="111" spans="1:3" ht="11.25">
      <c r="A111" s="1" t="str">
        <f>"72110"</f>
        <v>72110</v>
      </c>
      <c r="B111" s="1" t="s">
        <v>373</v>
      </c>
      <c r="C111" s="2">
        <v>47.83</v>
      </c>
    </row>
    <row r="112" spans="1:3" ht="11.25">
      <c r="A112" s="1" t="str">
        <f>"72114"</f>
        <v>72114</v>
      </c>
      <c r="B112" s="1" t="s">
        <v>1328</v>
      </c>
      <c r="C112" s="2">
        <v>61.95</v>
      </c>
    </row>
    <row r="113" spans="1:3" ht="11.25">
      <c r="A113" s="1" t="str">
        <f>"72120"</f>
        <v>72120</v>
      </c>
      <c r="B113" s="1" t="s">
        <v>235</v>
      </c>
      <c r="C113" s="2">
        <v>46.78</v>
      </c>
    </row>
    <row r="114" spans="1:3" ht="11.25">
      <c r="A114" s="1" t="str">
        <f>"72125"</f>
        <v>72125</v>
      </c>
      <c r="B114" s="1" t="s">
        <v>783</v>
      </c>
      <c r="C114" s="2">
        <v>308.95</v>
      </c>
    </row>
    <row r="115" spans="1:3" ht="11.25">
      <c r="A115" s="1" t="str">
        <f>"72126"</f>
        <v>72126</v>
      </c>
      <c r="B115" s="1" t="s">
        <v>1244</v>
      </c>
      <c r="C115" s="2">
        <v>369.82</v>
      </c>
    </row>
    <row r="116" spans="1:3" ht="11.25">
      <c r="A116" s="1" t="str">
        <f>"72127"</f>
        <v>72127</v>
      </c>
      <c r="B116" s="1" t="s">
        <v>537</v>
      </c>
      <c r="C116" s="2">
        <v>462.12</v>
      </c>
    </row>
    <row r="117" spans="1:3" ht="11.25">
      <c r="A117" s="1" t="str">
        <f>"72128"</f>
        <v>72128</v>
      </c>
      <c r="B117" s="1" t="s">
        <v>1407</v>
      </c>
      <c r="C117" s="2">
        <v>308.95</v>
      </c>
    </row>
    <row r="118" spans="1:3" ht="11.25">
      <c r="A118" s="1" t="str">
        <f>"72129"</f>
        <v>72129</v>
      </c>
      <c r="B118" s="1" t="s">
        <v>318</v>
      </c>
      <c r="C118" s="2">
        <v>369.82</v>
      </c>
    </row>
    <row r="119" spans="1:3" ht="11.25">
      <c r="A119" s="1" t="str">
        <f>"72130"</f>
        <v>72130</v>
      </c>
      <c r="B119" s="1" t="s">
        <v>1275</v>
      </c>
      <c r="C119" s="2">
        <v>462.12</v>
      </c>
    </row>
    <row r="120" spans="1:3" ht="11.25">
      <c r="A120" s="1" t="str">
        <f>"72131"</f>
        <v>72131</v>
      </c>
      <c r="B120" s="1" t="s">
        <v>1569</v>
      </c>
      <c r="C120" s="2">
        <v>308.95</v>
      </c>
    </row>
    <row r="121" spans="1:3" ht="11.25">
      <c r="A121" s="1" t="str">
        <f>"72132"</f>
        <v>72132</v>
      </c>
      <c r="B121" s="1" t="s">
        <v>1751</v>
      </c>
      <c r="C121" s="2">
        <v>369.82</v>
      </c>
    </row>
    <row r="122" spans="1:3" ht="11.25">
      <c r="A122" s="1" t="str">
        <f>"72133"</f>
        <v>72133</v>
      </c>
      <c r="B122" s="1" t="s">
        <v>1563</v>
      </c>
      <c r="C122" s="2">
        <v>462.12</v>
      </c>
    </row>
    <row r="123" spans="1:3" ht="11.25">
      <c r="A123" s="1" t="str">
        <f>"72141"</f>
        <v>72141</v>
      </c>
      <c r="B123" s="1" t="s">
        <v>813</v>
      </c>
      <c r="C123" s="2">
        <v>585.7</v>
      </c>
    </row>
    <row r="124" spans="1:3" ht="11.25">
      <c r="A124" s="1" t="str">
        <f>"72142"</f>
        <v>72142</v>
      </c>
      <c r="B124" s="1" t="s">
        <v>1302</v>
      </c>
      <c r="C124" s="2">
        <v>702.71</v>
      </c>
    </row>
    <row r="125" spans="1:3" ht="11.25">
      <c r="A125" s="1" t="str">
        <f>"72146"</f>
        <v>72146</v>
      </c>
      <c r="B125" s="1" t="s">
        <v>1738</v>
      </c>
      <c r="C125" s="2">
        <v>653.72</v>
      </c>
    </row>
    <row r="126" spans="1:3" ht="11.25">
      <c r="A126" s="1" t="str">
        <f>"72147"</f>
        <v>72147</v>
      </c>
      <c r="B126" s="1" t="s">
        <v>338</v>
      </c>
      <c r="C126" s="2">
        <v>702.71</v>
      </c>
    </row>
    <row r="127" spans="1:3" ht="11.25">
      <c r="A127" s="1" t="str">
        <f>"72148"</f>
        <v>72148</v>
      </c>
      <c r="B127" s="1" t="s">
        <v>350</v>
      </c>
      <c r="C127" s="2">
        <v>653.72</v>
      </c>
    </row>
    <row r="128" spans="1:3" ht="11.25">
      <c r="A128" s="1" t="str">
        <f>"72149"</f>
        <v>72149</v>
      </c>
      <c r="B128" s="1" t="s">
        <v>1350</v>
      </c>
      <c r="C128" s="2">
        <v>702.71</v>
      </c>
    </row>
    <row r="129" spans="1:3" ht="11.25">
      <c r="A129" s="1" t="str">
        <f>"72156"</f>
        <v>72156</v>
      </c>
      <c r="B129" s="1" t="s">
        <v>444</v>
      </c>
      <c r="C129" s="2">
        <v>1300.9</v>
      </c>
    </row>
    <row r="130" spans="1:3" ht="11.25">
      <c r="A130" s="1" t="str">
        <f>"72157"</f>
        <v>72157</v>
      </c>
      <c r="B130" s="1" t="s">
        <v>856</v>
      </c>
      <c r="C130" s="2">
        <v>1300.9</v>
      </c>
    </row>
    <row r="131" spans="1:3" ht="11.25">
      <c r="A131" s="1" t="str">
        <f>"72158"</f>
        <v>72158</v>
      </c>
      <c r="B131" s="1" t="s">
        <v>408</v>
      </c>
      <c r="C131" s="2">
        <v>1300.9</v>
      </c>
    </row>
    <row r="132" spans="1:3" ht="11.25">
      <c r="A132" s="1" t="str">
        <f>"72159"</f>
        <v>72159</v>
      </c>
      <c r="B132" s="1" t="s">
        <v>754</v>
      </c>
      <c r="C132" s="2">
        <v>650.34</v>
      </c>
    </row>
    <row r="133" spans="1:3" ht="11.25">
      <c r="A133" s="1" t="str">
        <f>"72170"</f>
        <v>72170</v>
      </c>
      <c r="B133" s="1" t="s">
        <v>580</v>
      </c>
      <c r="C133" s="2">
        <v>27.4</v>
      </c>
    </row>
    <row r="134" spans="1:3" ht="11.25">
      <c r="A134" s="1" t="str">
        <f>"72190"</f>
        <v>72190</v>
      </c>
      <c r="B134" s="1" t="s">
        <v>1592</v>
      </c>
      <c r="C134" s="2">
        <v>35.1</v>
      </c>
    </row>
    <row r="135" spans="1:3" ht="11.25">
      <c r="A135" s="1" t="str">
        <f>"72191"</f>
        <v>72191</v>
      </c>
      <c r="B135" s="1" t="s">
        <v>1696</v>
      </c>
      <c r="C135" s="2">
        <v>620.97</v>
      </c>
    </row>
    <row r="136" spans="1:3" ht="11.25">
      <c r="A136" s="1" t="str">
        <f>"72192"</f>
        <v>72192</v>
      </c>
      <c r="B136" s="1" t="s">
        <v>558</v>
      </c>
      <c r="C136" s="2">
        <v>308.95</v>
      </c>
    </row>
    <row r="137" spans="1:3" ht="11.25">
      <c r="A137" s="1" t="str">
        <f>"72193"</f>
        <v>72193</v>
      </c>
      <c r="B137" s="1" t="s">
        <v>593</v>
      </c>
      <c r="C137" s="2">
        <v>357.6</v>
      </c>
    </row>
    <row r="138" spans="1:3" ht="11.25">
      <c r="A138" s="1" t="str">
        <f>"72194"</f>
        <v>72194</v>
      </c>
      <c r="B138" s="1" t="s">
        <v>598</v>
      </c>
      <c r="C138" s="2">
        <v>443.49</v>
      </c>
    </row>
    <row r="139" spans="1:3" ht="11.25">
      <c r="A139" s="1" t="str">
        <f>"72195"</f>
        <v>72195</v>
      </c>
      <c r="B139" s="1" t="s">
        <v>284</v>
      </c>
      <c r="C139" s="2">
        <v>772.21</v>
      </c>
    </row>
    <row r="140" spans="1:3" ht="11.25">
      <c r="A140" s="1" t="str">
        <f>"72196"</f>
        <v>72196</v>
      </c>
      <c r="B140" s="1" t="s">
        <v>213</v>
      </c>
      <c r="C140" s="2">
        <v>585.7</v>
      </c>
    </row>
    <row r="141" spans="1:3" ht="11.25">
      <c r="A141" s="1" t="str">
        <f>"72197"</f>
        <v>72197</v>
      </c>
      <c r="B141" s="1" t="s">
        <v>125</v>
      </c>
      <c r="C141" s="2">
        <v>1649.41</v>
      </c>
    </row>
    <row r="142" spans="1:3" ht="11.25">
      <c r="A142" s="1" t="str">
        <f>"72198"</f>
        <v>72198</v>
      </c>
      <c r="B142" s="1" t="s">
        <v>646</v>
      </c>
      <c r="C142" s="2">
        <v>585.7</v>
      </c>
    </row>
    <row r="143" spans="1:3" ht="11.25">
      <c r="A143" s="1" t="str">
        <f>"72200"</f>
        <v>72200</v>
      </c>
      <c r="B143" s="1" t="s">
        <v>1594</v>
      </c>
      <c r="C143" s="2">
        <v>27.4</v>
      </c>
    </row>
    <row r="144" spans="1:3" ht="11.25">
      <c r="A144" s="1" t="str">
        <f>"72202"</f>
        <v>72202</v>
      </c>
      <c r="B144" s="1" t="s">
        <v>1014</v>
      </c>
      <c r="C144" s="2">
        <v>32.42</v>
      </c>
    </row>
    <row r="145" spans="1:3" ht="11.25">
      <c r="A145" s="1" t="str">
        <f>"72220"</f>
        <v>72220</v>
      </c>
      <c r="B145" s="1" t="s">
        <v>1134</v>
      </c>
      <c r="C145" s="2">
        <v>29.77</v>
      </c>
    </row>
    <row r="146" spans="1:3" ht="11.25">
      <c r="A146" s="1" t="str">
        <f>"72240"</f>
        <v>72240</v>
      </c>
      <c r="B146" s="1" t="s">
        <v>423</v>
      </c>
      <c r="C146" s="2">
        <v>228.63</v>
      </c>
    </row>
    <row r="147" spans="1:3" ht="11.25">
      <c r="A147" s="1" t="str">
        <f>"72255"</f>
        <v>72255</v>
      </c>
      <c r="B147" s="1" t="s">
        <v>1164</v>
      </c>
      <c r="C147" s="2">
        <v>211.72</v>
      </c>
    </row>
    <row r="148" spans="1:3" ht="11.25">
      <c r="A148" s="1" t="str">
        <f>"72265"</f>
        <v>72265</v>
      </c>
      <c r="B148" s="1" t="s">
        <v>1271</v>
      </c>
      <c r="C148" s="2">
        <v>197.85</v>
      </c>
    </row>
    <row r="149" spans="1:3" ht="11.25">
      <c r="A149" s="1" t="str">
        <f>"72270"</f>
        <v>72270</v>
      </c>
      <c r="B149" s="1" t="s">
        <v>758</v>
      </c>
      <c r="C149" s="2">
        <v>299.65</v>
      </c>
    </row>
    <row r="150" spans="1:3" ht="11.25">
      <c r="A150" s="1" t="str">
        <f>"72275"</f>
        <v>72275</v>
      </c>
      <c r="B150" s="1" t="s">
        <v>1317</v>
      </c>
      <c r="C150" s="2">
        <v>124.82</v>
      </c>
    </row>
    <row r="151" spans="1:3" ht="11.25">
      <c r="A151" s="1" t="str">
        <f>"72285"</f>
        <v>72285</v>
      </c>
      <c r="B151" s="1" t="s">
        <v>1311</v>
      </c>
      <c r="C151" s="2">
        <v>438.16</v>
      </c>
    </row>
    <row r="152" spans="1:3" ht="11.25">
      <c r="A152" s="1" t="str">
        <f>"72291"</f>
        <v>72291</v>
      </c>
      <c r="B152" s="1" t="s">
        <v>1012</v>
      </c>
      <c r="C152" s="2">
        <v>48.96</v>
      </c>
    </row>
    <row r="153" spans="1:3" ht="11.25">
      <c r="A153" s="1" t="str">
        <f>"72292"</f>
        <v>72292</v>
      </c>
      <c r="B153" s="1" t="s">
        <v>1318</v>
      </c>
      <c r="C153" s="2">
        <v>50.39</v>
      </c>
    </row>
    <row r="154" spans="1:3" ht="11.25">
      <c r="A154" s="1" t="str">
        <f>"72295"</f>
        <v>72295</v>
      </c>
      <c r="B154" s="1" t="s">
        <v>1613</v>
      </c>
      <c r="C154" s="2">
        <v>410.53</v>
      </c>
    </row>
    <row r="155" spans="1:3" ht="11.25">
      <c r="A155" s="1" t="str">
        <f>"73000"</f>
        <v>73000</v>
      </c>
      <c r="B155" s="1" t="s">
        <v>1265</v>
      </c>
      <c r="C155" s="2">
        <v>27.4</v>
      </c>
    </row>
    <row r="156" spans="1:3" ht="11.25">
      <c r="A156" s="1" t="str">
        <f>"73010"</f>
        <v>73010</v>
      </c>
      <c r="B156" s="1" t="s">
        <v>41</v>
      </c>
      <c r="C156" s="2">
        <v>27.4</v>
      </c>
    </row>
    <row r="157" spans="1:3" ht="11.25">
      <c r="A157" s="1" t="str">
        <f>"73020"</f>
        <v>73020</v>
      </c>
      <c r="B157" s="1" t="s">
        <v>458</v>
      </c>
      <c r="C157" s="2">
        <v>24.71</v>
      </c>
    </row>
    <row r="158" spans="1:3" ht="11.25">
      <c r="A158" s="1" t="str">
        <f>"73030"</f>
        <v>73030</v>
      </c>
      <c r="B158" s="1" t="s">
        <v>1682</v>
      </c>
      <c r="C158" s="2">
        <v>29.77</v>
      </c>
    </row>
    <row r="159" spans="1:3" ht="11.25">
      <c r="A159" s="1" t="str">
        <f>"73040"</f>
        <v>73040</v>
      </c>
      <c r="B159" s="1" t="s">
        <v>1295</v>
      </c>
      <c r="C159" s="2">
        <v>109.81</v>
      </c>
    </row>
    <row r="160" spans="1:3" ht="11.25">
      <c r="A160" s="1" t="str">
        <f>"73050"</f>
        <v>73050</v>
      </c>
      <c r="B160" s="1" t="s">
        <v>920</v>
      </c>
      <c r="C160" s="2">
        <v>35.1</v>
      </c>
    </row>
    <row r="161" spans="1:3" ht="11.25">
      <c r="A161" s="1" t="str">
        <f>"73060"</f>
        <v>73060</v>
      </c>
      <c r="B161" s="1" t="s">
        <v>136</v>
      </c>
      <c r="C161" s="2">
        <v>12.67</v>
      </c>
    </row>
    <row r="162" spans="1:3" ht="11.25">
      <c r="A162" s="1" t="str">
        <f>"73070"</f>
        <v>73070</v>
      </c>
      <c r="B162" s="1" t="s">
        <v>1303</v>
      </c>
      <c r="C162" s="2">
        <v>27.4</v>
      </c>
    </row>
    <row r="163" spans="1:3" ht="11.25">
      <c r="A163" s="1" t="str">
        <f>"73080"</f>
        <v>73080</v>
      </c>
      <c r="B163" s="1" t="s">
        <v>746</v>
      </c>
      <c r="C163" s="2">
        <v>29.77</v>
      </c>
    </row>
    <row r="164" spans="1:3" ht="11.25">
      <c r="A164" s="1" t="str">
        <f>"73085"</f>
        <v>73085</v>
      </c>
      <c r="B164" s="1" t="s">
        <v>595</v>
      </c>
      <c r="C164" s="2">
        <v>109.81</v>
      </c>
    </row>
    <row r="165" spans="1:3" ht="11.25">
      <c r="A165" s="1" t="str">
        <f>"73090"</f>
        <v>73090</v>
      </c>
      <c r="B165" s="1" t="s">
        <v>1170</v>
      </c>
      <c r="C165" s="2">
        <v>27.4</v>
      </c>
    </row>
    <row r="166" spans="1:3" ht="11.25">
      <c r="A166" s="1" t="str">
        <f>"73092"</f>
        <v>73092</v>
      </c>
      <c r="B166" s="1" t="s">
        <v>487</v>
      </c>
      <c r="C166" s="2">
        <v>25.77</v>
      </c>
    </row>
    <row r="167" spans="1:3" ht="11.25">
      <c r="A167" s="1" t="str">
        <f>"73100"</f>
        <v>73100</v>
      </c>
      <c r="B167" s="1" t="s">
        <v>1242</v>
      </c>
      <c r="C167" s="2">
        <v>25.77</v>
      </c>
    </row>
    <row r="168" spans="1:3" ht="11.25">
      <c r="A168" s="1" t="str">
        <f>"73110"</f>
        <v>73110</v>
      </c>
      <c r="B168" s="1" t="s">
        <v>718</v>
      </c>
      <c r="C168" s="2">
        <v>27.91</v>
      </c>
    </row>
    <row r="169" spans="1:3" ht="11.25">
      <c r="A169" s="1" t="str">
        <f>"73115"</f>
        <v>73115</v>
      </c>
      <c r="B169" s="1" t="s">
        <v>1374</v>
      </c>
      <c r="C169" s="2">
        <v>82.41</v>
      </c>
    </row>
    <row r="170" spans="1:3" ht="11.25">
      <c r="A170" s="1" t="str">
        <f>"73120"</f>
        <v>73120</v>
      </c>
      <c r="B170" s="1" t="s">
        <v>1529</v>
      </c>
      <c r="C170" s="2">
        <v>25.77</v>
      </c>
    </row>
    <row r="171" spans="1:3" ht="11.25">
      <c r="A171" s="1" t="str">
        <f>"73130"</f>
        <v>73130</v>
      </c>
      <c r="B171" s="1" t="s">
        <v>446</v>
      </c>
      <c r="C171" s="2">
        <v>27.91</v>
      </c>
    </row>
    <row r="172" spans="1:3" ht="11.25">
      <c r="A172" s="1" t="str">
        <f>"73140"</f>
        <v>73140</v>
      </c>
      <c r="B172" s="1" t="s">
        <v>152</v>
      </c>
      <c r="C172" s="2">
        <v>22.06</v>
      </c>
    </row>
    <row r="173" spans="1:3" ht="11.25">
      <c r="A173" s="1" t="str">
        <f>"73200"</f>
        <v>73200</v>
      </c>
      <c r="B173" s="1" t="s">
        <v>1168</v>
      </c>
      <c r="C173" s="2">
        <v>259.47</v>
      </c>
    </row>
    <row r="174" spans="1:3" ht="11.25">
      <c r="A174" s="1" t="str">
        <f>"73201"</f>
        <v>73201</v>
      </c>
      <c r="B174" s="1" t="s">
        <v>1179</v>
      </c>
      <c r="C174" s="2">
        <v>308.95</v>
      </c>
    </row>
    <row r="175" spans="1:3" ht="11.25">
      <c r="A175" s="1" t="str">
        <f>"73202"</f>
        <v>73202</v>
      </c>
      <c r="B175" s="1" t="s">
        <v>860</v>
      </c>
      <c r="C175" s="2">
        <v>388.44</v>
      </c>
    </row>
    <row r="176" spans="1:3" ht="11.25">
      <c r="A176" s="1" t="str">
        <f>"73206"</f>
        <v>73206</v>
      </c>
      <c r="B176" s="1" t="s">
        <v>1365</v>
      </c>
      <c r="C176" s="2">
        <v>557.17</v>
      </c>
    </row>
    <row r="177" spans="1:3" ht="11.25">
      <c r="A177" s="1" t="str">
        <f>"73218"</f>
        <v>73218</v>
      </c>
      <c r="B177" s="1" t="s">
        <v>308</v>
      </c>
      <c r="C177" s="2">
        <v>761.08</v>
      </c>
    </row>
    <row r="178" spans="1:3" ht="11.25">
      <c r="A178" s="1" t="str">
        <f>"73219"</f>
        <v>73219</v>
      </c>
      <c r="B178" s="1" t="s">
        <v>756</v>
      </c>
      <c r="C178" s="2">
        <v>911.97</v>
      </c>
    </row>
    <row r="179" spans="1:3" ht="11.25">
      <c r="A179" s="1" t="str">
        <f>"73220"</f>
        <v>73220</v>
      </c>
      <c r="B179" s="1" t="s">
        <v>603</v>
      </c>
      <c r="C179" s="2">
        <v>585.7</v>
      </c>
    </row>
    <row r="180" spans="1:3" ht="11.25">
      <c r="A180" s="1" t="str">
        <f>"73221"</f>
        <v>73221</v>
      </c>
      <c r="B180" s="1" t="s">
        <v>1027</v>
      </c>
      <c r="C180" s="2">
        <v>585.7</v>
      </c>
    </row>
    <row r="181" spans="1:3" ht="11.25">
      <c r="A181" s="1" t="str">
        <f>"73222"</f>
        <v>73222</v>
      </c>
      <c r="B181" s="1" t="s">
        <v>1384</v>
      </c>
      <c r="C181" s="2">
        <v>911.97</v>
      </c>
    </row>
    <row r="182" spans="1:3" ht="11.25">
      <c r="A182" s="1" t="str">
        <f>"73223"</f>
        <v>73223</v>
      </c>
      <c r="B182" s="1" t="s">
        <v>490</v>
      </c>
      <c r="C182" s="2">
        <v>1636.56</v>
      </c>
    </row>
    <row r="183" spans="1:3" ht="11.25">
      <c r="A183" s="1" t="str">
        <f>"73225"</f>
        <v>73225</v>
      </c>
      <c r="B183" s="1" t="s">
        <v>28</v>
      </c>
      <c r="C183" s="2">
        <v>585.7</v>
      </c>
    </row>
    <row r="184" spans="1:3" ht="11.25">
      <c r="A184" s="1" t="str">
        <f>"73500"</f>
        <v>73500</v>
      </c>
      <c r="B184" s="1" t="s">
        <v>961</v>
      </c>
      <c r="C184" s="2">
        <v>24.71</v>
      </c>
    </row>
    <row r="185" spans="1:3" ht="11.25">
      <c r="A185" s="1" t="str">
        <f>"73510"</f>
        <v>73510</v>
      </c>
      <c r="B185" s="1" t="s">
        <v>1411</v>
      </c>
      <c r="C185" s="2">
        <v>29.77</v>
      </c>
    </row>
    <row r="186" spans="1:3" ht="11.25">
      <c r="A186" s="1" t="str">
        <f>"73520"</f>
        <v>73520</v>
      </c>
      <c r="B186" s="1" t="s">
        <v>1373</v>
      </c>
      <c r="C186" s="2">
        <v>35.1</v>
      </c>
    </row>
    <row r="187" spans="1:3" ht="11.25">
      <c r="A187" s="1" t="str">
        <f>"73525"</f>
        <v>73525</v>
      </c>
      <c r="B187" s="1" t="s">
        <v>285</v>
      </c>
      <c r="C187" s="2">
        <v>139.16</v>
      </c>
    </row>
    <row r="188" spans="1:3" ht="11.25">
      <c r="A188" s="1" t="str">
        <f>"73530"</f>
        <v>73530</v>
      </c>
      <c r="B188" s="1" t="s">
        <v>533</v>
      </c>
      <c r="C188" s="2">
        <v>27.4</v>
      </c>
    </row>
    <row r="189" spans="1:3" ht="11.25">
      <c r="A189" s="1" t="str">
        <f>"73540"</f>
        <v>73540</v>
      </c>
      <c r="B189" s="1" t="s">
        <v>1581</v>
      </c>
      <c r="C189" s="2">
        <v>29.77</v>
      </c>
    </row>
    <row r="190" spans="1:3" ht="11.25">
      <c r="A190" s="1" t="str">
        <f>"73542"</f>
        <v>73542</v>
      </c>
      <c r="B190" s="1" t="s">
        <v>171</v>
      </c>
      <c r="C190" s="2">
        <v>123.27</v>
      </c>
    </row>
    <row r="191" spans="1:3" ht="11.25">
      <c r="A191" s="1" t="str">
        <f>"73550"</f>
        <v>73550</v>
      </c>
      <c r="B191" s="1" t="s">
        <v>613</v>
      </c>
      <c r="C191" s="2">
        <v>29.77</v>
      </c>
    </row>
    <row r="192" spans="1:3" ht="11.25">
      <c r="A192" s="1" t="str">
        <f>"73560"</f>
        <v>73560</v>
      </c>
      <c r="B192" s="1" t="s">
        <v>376</v>
      </c>
      <c r="C192" s="2">
        <v>27.4</v>
      </c>
    </row>
    <row r="193" spans="1:3" ht="11.25">
      <c r="A193" s="1" t="str">
        <f>"73562"</f>
        <v>73562</v>
      </c>
      <c r="B193" s="1" t="s">
        <v>1456</v>
      </c>
      <c r="C193" s="2">
        <v>29.77</v>
      </c>
    </row>
    <row r="194" spans="1:3" ht="11.25">
      <c r="A194" s="1" t="str">
        <f>"73564"</f>
        <v>73564</v>
      </c>
      <c r="B194" s="1" t="s">
        <v>195</v>
      </c>
      <c r="C194" s="2">
        <v>32.42</v>
      </c>
    </row>
    <row r="195" spans="1:3" ht="11.25">
      <c r="A195" s="1" t="str">
        <f>"73565"</f>
        <v>73565</v>
      </c>
      <c r="B195" s="1" t="s">
        <v>1668</v>
      </c>
      <c r="C195" s="2">
        <v>25.77</v>
      </c>
    </row>
    <row r="196" spans="1:3" ht="11.25">
      <c r="A196" s="1" t="str">
        <f>"73580"</f>
        <v>73580</v>
      </c>
      <c r="B196" s="1" t="s">
        <v>842</v>
      </c>
      <c r="C196" s="2">
        <v>137.43</v>
      </c>
    </row>
    <row r="197" spans="1:3" ht="11.25">
      <c r="A197" s="1" t="str">
        <f>"73590"</f>
        <v>73590</v>
      </c>
      <c r="B197" s="1" t="s">
        <v>1136</v>
      </c>
      <c r="C197" s="2">
        <v>27.4</v>
      </c>
    </row>
    <row r="198" spans="1:3" ht="11.25">
      <c r="A198" s="1" t="str">
        <f>"73592"</f>
        <v>73592</v>
      </c>
      <c r="B198" s="1" t="s">
        <v>923</v>
      </c>
      <c r="C198" s="2">
        <v>25.77</v>
      </c>
    </row>
    <row r="199" spans="1:3" ht="11.25">
      <c r="A199" s="1" t="str">
        <f>"73600"</f>
        <v>73600</v>
      </c>
      <c r="B199" s="1" t="s">
        <v>625</v>
      </c>
      <c r="C199" s="2">
        <v>25.77</v>
      </c>
    </row>
    <row r="200" spans="1:3" ht="11.25">
      <c r="A200" s="1" t="str">
        <f>"73610"</f>
        <v>73610</v>
      </c>
      <c r="B200" s="1" t="s">
        <v>618</v>
      </c>
      <c r="C200" s="2">
        <v>27.91</v>
      </c>
    </row>
    <row r="201" spans="1:3" ht="11.25">
      <c r="A201" s="1" t="str">
        <f>"73615"</f>
        <v>73615</v>
      </c>
      <c r="B201" s="1" t="s">
        <v>253</v>
      </c>
      <c r="C201" s="2">
        <v>109.81</v>
      </c>
    </row>
    <row r="202" spans="1:3" ht="11.25">
      <c r="A202" s="1" t="str">
        <f>"73620"</f>
        <v>73620</v>
      </c>
      <c r="B202" s="1" t="s">
        <v>992</v>
      </c>
      <c r="C202" s="2">
        <v>25.77</v>
      </c>
    </row>
    <row r="203" spans="1:3" ht="11.25">
      <c r="A203" s="1" t="str">
        <f>"73630"</f>
        <v>73630</v>
      </c>
      <c r="B203" s="1" t="s">
        <v>1249</v>
      </c>
      <c r="C203" s="2">
        <v>27.91</v>
      </c>
    </row>
    <row r="204" spans="1:3" ht="11.25">
      <c r="A204" s="1" t="str">
        <f>"73650"</f>
        <v>73650</v>
      </c>
      <c r="B204" s="1" t="s">
        <v>958</v>
      </c>
      <c r="C204" s="2">
        <v>24.71</v>
      </c>
    </row>
    <row r="205" spans="1:3" ht="11.25">
      <c r="A205" s="1" t="str">
        <f>"73660"</f>
        <v>73660</v>
      </c>
      <c r="B205" s="1" t="s">
        <v>1397</v>
      </c>
      <c r="C205" s="2">
        <v>22.06</v>
      </c>
    </row>
    <row r="206" spans="1:3" ht="11.25">
      <c r="A206" s="1" t="str">
        <f>"73700"</f>
        <v>73700</v>
      </c>
      <c r="B206" s="1" t="s">
        <v>1357</v>
      </c>
      <c r="C206" s="2">
        <v>259.47</v>
      </c>
    </row>
    <row r="207" spans="1:3" ht="11.25">
      <c r="A207" s="1" t="str">
        <f>"73701"</f>
        <v>73701</v>
      </c>
      <c r="B207" s="1" t="s">
        <v>476</v>
      </c>
      <c r="C207" s="2">
        <v>308.95</v>
      </c>
    </row>
    <row r="208" spans="1:3" ht="11.25">
      <c r="A208" s="1" t="str">
        <f>"73702"</f>
        <v>73702</v>
      </c>
      <c r="B208" s="1" t="s">
        <v>333</v>
      </c>
      <c r="C208" s="2">
        <v>388.44</v>
      </c>
    </row>
    <row r="209" spans="1:3" ht="11.25">
      <c r="A209" s="1" t="str">
        <f>"73706"</f>
        <v>73706</v>
      </c>
      <c r="B209" s="1" t="s">
        <v>1279</v>
      </c>
      <c r="C209" s="2">
        <v>557.17</v>
      </c>
    </row>
    <row r="210" spans="1:3" ht="11.25">
      <c r="A210" s="1" t="str">
        <f>"73718"</f>
        <v>73718</v>
      </c>
      <c r="B210" s="1" t="s">
        <v>465</v>
      </c>
      <c r="C210" s="2">
        <v>761.08</v>
      </c>
    </row>
    <row r="211" spans="1:3" ht="11.25">
      <c r="A211" s="1" t="str">
        <f>"73719"</f>
        <v>73719</v>
      </c>
      <c r="B211" s="1" t="s">
        <v>1200</v>
      </c>
      <c r="C211" s="2">
        <v>911.97</v>
      </c>
    </row>
    <row r="212" spans="1:3" ht="11.25">
      <c r="A212" s="1" t="str">
        <f>"73720"</f>
        <v>73720</v>
      </c>
      <c r="B212" s="1" t="s">
        <v>1251</v>
      </c>
      <c r="C212" s="2">
        <v>585.7</v>
      </c>
    </row>
    <row r="213" spans="1:3" ht="11.25">
      <c r="A213" s="1" t="str">
        <f>"73721"</f>
        <v>73721</v>
      </c>
      <c r="B213" s="1" t="s">
        <v>87</v>
      </c>
      <c r="C213" s="2">
        <v>585.7</v>
      </c>
    </row>
    <row r="214" spans="1:3" ht="11.25">
      <c r="A214" s="1" t="str">
        <f>"73722"</f>
        <v>73722</v>
      </c>
      <c r="B214" s="1" t="s">
        <v>295</v>
      </c>
      <c r="C214" s="2">
        <v>911.97</v>
      </c>
    </row>
    <row r="215" spans="1:3" ht="11.25">
      <c r="A215" s="1" t="str">
        <f>"73723"</f>
        <v>73723</v>
      </c>
      <c r="B215" s="1" t="s">
        <v>327</v>
      </c>
      <c r="C215" s="2">
        <v>1636.56</v>
      </c>
    </row>
    <row r="216" spans="1:3" ht="11.25">
      <c r="A216" s="1" t="str">
        <f>"73725"</f>
        <v>73725</v>
      </c>
      <c r="B216" s="1" t="s">
        <v>508</v>
      </c>
      <c r="C216" s="2">
        <v>585.7</v>
      </c>
    </row>
    <row r="217" spans="1:3" ht="11.25">
      <c r="A217" s="1" t="str">
        <f>"74000"</f>
        <v>74000</v>
      </c>
      <c r="B217" s="1" t="s">
        <v>1579</v>
      </c>
      <c r="C217" s="2">
        <v>27.4</v>
      </c>
    </row>
    <row r="218" spans="1:3" ht="11.25">
      <c r="A218" s="1" t="str">
        <f>"74010"</f>
        <v>74010</v>
      </c>
      <c r="B218" s="1" t="s">
        <v>1339</v>
      </c>
      <c r="C218" s="2">
        <v>29.77</v>
      </c>
    </row>
    <row r="219" spans="1:3" ht="11.25">
      <c r="A219" s="1" t="str">
        <f>"74020"</f>
        <v>74020</v>
      </c>
      <c r="B219" s="1" t="s">
        <v>372</v>
      </c>
      <c r="C219" s="2">
        <v>32.42</v>
      </c>
    </row>
    <row r="220" spans="1:3" ht="11.25">
      <c r="A220" s="1" t="str">
        <f>"74022"</f>
        <v>74022</v>
      </c>
      <c r="B220" s="1" t="s">
        <v>1042</v>
      </c>
      <c r="C220" s="2">
        <v>38.55</v>
      </c>
    </row>
    <row r="221" spans="1:3" ht="11.25">
      <c r="A221" s="1" t="str">
        <f>"74150"</f>
        <v>74150</v>
      </c>
      <c r="B221" s="1" t="s">
        <v>869</v>
      </c>
      <c r="C221" s="2">
        <v>295.89</v>
      </c>
    </row>
    <row r="222" spans="1:3" ht="11.25">
      <c r="A222" s="1" t="str">
        <f>"74160"</f>
        <v>74160</v>
      </c>
      <c r="B222" s="1" t="s">
        <v>1058</v>
      </c>
      <c r="C222" s="2">
        <v>357.6</v>
      </c>
    </row>
    <row r="223" spans="1:3" ht="11.25">
      <c r="A223" s="1" t="str">
        <f>"74170"</f>
        <v>74170</v>
      </c>
      <c r="B223" s="1" t="s">
        <v>180</v>
      </c>
      <c r="C223" s="2">
        <v>443.49</v>
      </c>
    </row>
    <row r="224" spans="1:3" ht="11.25">
      <c r="A224" s="1" t="str">
        <f>"74175"</f>
        <v>74175</v>
      </c>
      <c r="B224" s="1" t="s">
        <v>583</v>
      </c>
      <c r="C224" s="2">
        <v>620.97</v>
      </c>
    </row>
    <row r="225" spans="1:3" ht="11.25">
      <c r="A225" s="1" t="str">
        <f>"74181"</f>
        <v>74181</v>
      </c>
      <c r="B225" s="1" t="s">
        <v>1284</v>
      </c>
      <c r="C225" s="2">
        <v>585.7</v>
      </c>
    </row>
    <row r="226" spans="1:3" ht="11.25">
      <c r="A226" s="1" t="str">
        <f>"74182"</f>
        <v>74182</v>
      </c>
      <c r="B226" s="1" t="s">
        <v>1214</v>
      </c>
      <c r="C226" s="2">
        <v>923.81</v>
      </c>
    </row>
    <row r="227" spans="1:3" ht="11.25">
      <c r="A227" s="1" t="str">
        <f>"74183"</f>
        <v>74183</v>
      </c>
      <c r="B227" s="1" t="s">
        <v>818</v>
      </c>
      <c r="C227" s="2">
        <v>1649.41</v>
      </c>
    </row>
    <row r="228" spans="1:3" ht="11.25">
      <c r="A228" s="1" t="str">
        <f>"74185"</f>
        <v>74185</v>
      </c>
      <c r="B228" s="1" t="s">
        <v>1286</v>
      </c>
      <c r="C228" s="2">
        <v>585.7</v>
      </c>
    </row>
    <row r="229" spans="1:3" ht="11.25">
      <c r="A229" s="1" t="str">
        <f>"74190"</f>
        <v>74190</v>
      </c>
      <c r="B229" s="1" t="s">
        <v>975</v>
      </c>
      <c r="C229" s="2">
        <v>68.05</v>
      </c>
    </row>
    <row r="230" spans="1:3" ht="11.25">
      <c r="A230" s="1" t="str">
        <f>"74210"</f>
        <v>74210</v>
      </c>
      <c r="B230" s="1" t="s">
        <v>130</v>
      </c>
      <c r="C230" s="2">
        <v>61.95</v>
      </c>
    </row>
    <row r="231" spans="1:3" ht="11.25">
      <c r="A231" s="1" t="str">
        <f>"74220"</f>
        <v>74220</v>
      </c>
      <c r="B231" s="1" t="s">
        <v>1606</v>
      </c>
      <c r="C231" s="2">
        <v>61.95</v>
      </c>
    </row>
    <row r="232" spans="1:3" ht="11.25">
      <c r="A232" s="1" t="str">
        <f>"74230"</f>
        <v>74230</v>
      </c>
      <c r="B232" s="1" t="s">
        <v>866</v>
      </c>
      <c r="C232" s="2">
        <v>68.05</v>
      </c>
    </row>
    <row r="233" spans="1:3" ht="11.25">
      <c r="A233" s="1" t="str">
        <f>"74235"</f>
        <v>74235</v>
      </c>
      <c r="B233" s="1" t="s">
        <v>636</v>
      </c>
      <c r="C233" s="2">
        <v>142.92</v>
      </c>
    </row>
    <row r="234" spans="1:3" ht="11.25">
      <c r="A234" s="1" t="str">
        <f>"74240"</f>
        <v>74240</v>
      </c>
      <c r="B234" s="1" t="s">
        <v>415</v>
      </c>
      <c r="C234" s="2">
        <v>76.3</v>
      </c>
    </row>
    <row r="235" spans="1:3" ht="11.25">
      <c r="A235" s="1" t="str">
        <f>"74241"</f>
        <v>74241</v>
      </c>
      <c r="B235" s="1" t="s">
        <v>833</v>
      </c>
      <c r="C235" s="2">
        <v>77.9</v>
      </c>
    </row>
    <row r="236" spans="1:3" ht="11.25">
      <c r="A236" s="1" t="str">
        <f>"74245"</f>
        <v>74245</v>
      </c>
      <c r="B236" s="1" t="s">
        <v>800</v>
      </c>
      <c r="C236" s="2">
        <v>124.67</v>
      </c>
    </row>
    <row r="237" spans="1:3" ht="11.25">
      <c r="A237" s="1" t="str">
        <f>"74246"</f>
        <v>74246</v>
      </c>
      <c r="B237" s="1" t="s">
        <v>1086</v>
      </c>
      <c r="C237" s="2">
        <v>86.15</v>
      </c>
    </row>
    <row r="238" spans="1:3" ht="11.25">
      <c r="A238" s="1" t="str">
        <f>"74247"</f>
        <v>74247</v>
      </c>
      <c r="B238" s="1" t="s">
        <v>965</v>
      </c>
      <c r="C238" s="2">
        <v>87.98</v>
      </c>
    </row>
    <row r="239" spans="1:3" ht="11.25">
      <c r="A239" s="1" t="str">
        <f>"74249"</f>
        <v>74249</v>
      </c>
      <c r="B239" s="1" t="s">
        <v>1413</v>
      </c>
      <c r="C239" s="2">
        <v>134.52</v>
      </c>
    </row>
    <row r="240" spans="1:3" ht="11.25">
      <c r="A240" s="1" t="str">
        <f>"74250"</f>
        <v>74250</v>
      </c>
      <c r="B240" s="1" t="s">
        <v>1383</v>
      </c>
      <c r="C240" s="2">
        <v>68.05</v>
      </c>
    </row>
    <row r="241" spans="1:3" ht="11.25">
      <c r="A241" s="1" t="str">
        <f>"74251"</f>
        <v>74251</v>
      </c>
      <c r="B241" s="1" t="s">
        <v>687</v>
      </c>
      <c r="C241" s="2">
        <v>68.05</v>
      </c>
    </row>
    <row r="242" spans="1:3" ht="11.25">
      <c r="A242" s="1" t="str">
        <f>"74260"</f>
        <v>74260</v>
      </c>
      <c r="B242" s="1" t="s">
        <v>1560</v>
      </c>
      <c r="C242" s="2">
        <v>77.9</v>
      </c>
    </row>
    <row r="243" spans="1:3" ht="11.25">
      <c r="A243" s="1" t="str">
        <f>"74270"</f>
        <v>74270</v>
      </c>
      <c r="B243" s="1" t="s">
        <v>1680</v>
      </c>
      <c r="C243" s="2">
        <v>89.04</v>
      </c>
    </row>
    <row r="244" spans="1:3" ht="11.25">
      <c r="A244" s="1" t="str">
        <f>"74280"</f>
        <v>74280</v>
      </c>
      <c r="B244" s="1" t="s">
        <v>638</v>
      </c>
      <c r="C244" s="2">
        <v>116.97</v>
      </c>
    </row>
    <row r="245" spans="1:3" ht="11.25">
      <c r="A245" s="1" t="str">
        <f>"74283"</f>
        <v>74283</v>
      </c>
      <c r="B245" s="1" t="s">
        <v>788</v>
      </c>
      <c r="C245" s="2">
        <v>133.98</v>
      </c>
    </row>
    <row r="246" spans="1:3" ht="11.25">
      <c r="A246" s="1" t="str">
        <f>"74290"</f>
        <v>74290</v>
      </c>
      <c r="B246" s="1" t="s">
        <v>634</v>
      </c>
      <c r="C246" s="2">
        <v>38.55</v>
      </c>
    </row>
    <row r="247" spans="1:3" ht="11.25">
      <c r="A247" s="1" t="str">
        <f>"74291"</f>
        <v>74291</v>
      </c>
      <c r="B247" s="1" t="s">
        <v>232</v>
      </c>
      <c r="C247" s="2">
        <v>22.06</v>
      </c>
    </row>
    <row r="248" spans="1:3" ht="11.25">
      <c r="A248" s="1" t="str">
        <f>"74300"</f>
        <v>74300</v>
      </c>
      <c r="B248" s="1" t="s">
        <v>269</v>
      </c>
      <c r="C248" s="2">
        <v>45.2</v>
      </c>
    </row>
    <row r="249" spans="1:3" ht="11.25">
      <c r="A249" s="1" t="str">
        <f>"74301"</f>
        <v>74301</v>
      </c>
      <c r="B249" s="1" t="s">
        <v>614</v>
      </c>
      <c r="C249" s="2">
        <v>51.38</v>
      </c>
    </row>
    <row r="250" spans="1:3" ht="11.25">
      <c r="A250" s="1" t="str">
        <f>"74305"</f>
        <v>74305</v>
      </c>
      <c r="B250" s="1" t="s">
        <v>263</v>
      </c>
      <c r="C250" s="2">
        <v>41.21</v>
      </c>
    </row>
    <row r="251" spans="1:3" ht="11.25">
      <c r="A251" s="1" t="str">
        <f>"74320"</f>
        <v>74320</v>
      </c>
      <c r="B251" s="1" t="s">
        <v>1725</v>
      </c>
      <c r="C251" s="2">
        <v>164.59</v>
      </c>
    </row>
    <row r="252" spans="1:3" ht="11.25">
      <c r="A252" s="1" t="str">
        <f>"74327"</f>
        <v>74327</v>
      </c>
      <c r="B252" s="1" t="s">
        <v>1314</v>
      </c>
      <c r="C252" s="2">
        <v>85.84</v>
      </c>
    </row>
    <row r="253" spans="1:3" ht="11.25">
      <c r="A253" s="1" t="str">
        <f>"74328"</f>
        <v>74328</v>
      </c>
      <c r="B253" s="1" t="s">
        <v>479</v>
      </c>
      <c r="C253" s="2">
        <v>164.59</v>
      </c>
    </row>
    <row r="254" spans="1:3" ht="11.25">
      <c r="A254" s="1" t="str">
        <f>"74329"</f>
        <v>74329</v>
      </c>
      <c r="B254" s="1" t="s">
        <v>1038</v>
      </c>
      <c r="C254" s="2">
        <v>164.59</v>
      </c>
    </row>
    <row r="255" spans="1:3" ht="11.25">
      <c r="A255" s="1" t="str">
        <f>"74330"</f>
        <v>74330</v>
      </c>
      <c r="B255" s="1" t="s">
        <v>1001</v>
      </c>
      <c r="C255" s="2">
        <v>164.59</v>
      </c>
    </row>
    <row r="256" spans="1:3" ht="11.25">
      <c r="A256" s="1" t="str">
        <f>"74340"</f>
        <v>74340</v>
      </c>
      <c r="B256" s="1" t="s">
        <v>903</v>
      </c>
      <c r="C256" s="2">
        <v>137.43</v>
      </c>
    </row>
    <row r="257" spans="1:3" ht="11.25">
      <c r="A257" s="1" t="str">
        <f>"74355"</f>
        <v>74355</v>
      </c>
      <c r="B257" s="1" t="s">
        <v>160</v>
      </c>
      <c r="C257" s="2">
        <v>137.43</v>
      </c>
    </row>
    <row r="258" spans="1:3" ht="11.25">
      <c r="A258" s="1" t="str">
        <f>"74360"</f>
        <v>74360</v>
      </c>
      <c r="B258" s="1" t="s">
        <v>466</v>
      </c>
      <c r="C258" s="2">
        <v>164.59</v>
      </c>
    </row>
    <row r="259" spans="1:3" ht="11.25">
      <c r="A259" s="1" t="str">
        <f>"74363"</f>
        <v>74363</v>
      </c>
      <c r="B259" s="1" t="s">
        <v>44</v>
      </c>
      <c r="C259" s="2">
        <v>409.23</v>
      </c>
    </row>
    <row r="260" spans="1:3" ht="11.25">
      <c r="A260" s="1" t="str">
        <f>"74400"</f>
        <v>74400</v>
      </c>
      <c r="B260" s="1" t="s">
        <v>1050</v>
      </c>
      <c r="C260" s="2">
        <v>87.98</v>
      </c>
    </row>
    <row r="261" spans="1:3" ht="11.25">
      <c r="A261" s="1" t="str">
        <f>"74410"</f>
        <v>74410</v>
      </c>
      <c r="B261" s="1" t="s">
        <v>54</v>
      </c>
      <c r="C261" s="2">
        <v>102.08</v>
      </c>
    </row>
    <row r="262" spans="1:3" ht="11.25">
      <c r="A262" s="1" t="str">
        <f>"74415"</f>
        <v>74415</v>
      </c>
      <c r="B262" s="1" t="s">
        <v>852</v>
      </c>
      <c r="C262" s="2">
        <v>110.86</v>
      </c>
    </row>
    <row r="263" spans="1:3" ht="11.25">
      <c r="A263" s="1" t="str">
        <f>"74420"</f>
        <v>74420</v>
      </c>
      <c r="B263" s="1" t="s">
        <v>1084</v>
      </c>
      <c r="C263" s="2">
        <v>137.43</v>
      </c>
    </row>
    <row r="264" spans="1:3" ht="11.25">
      <c r="A264" s="1" t="str">
        <f>"74425"</f>
        <v>74425</v>
      </c>
      <c r="B264" s="1" t="s">
        <v>1483</v>
      </c>
      <c r="C264" s="2">
        <v>68.05</v>
      </c>
    </row>
    <row r="265" spans="1:3" ht="11.25">
      <c r="A265" s="1" t="str">
        <f>"74430"</f>
        <v>74430</v>
      </c>
      <c r="B265" s="1" t="s">
        <v>313</v>
      </c>
      <c r="C265" s="2">
        <v>58.35</v>
      </c>
    </row>
    <row r="266" spans="1:3" ht="11.25">
      <c r="A266" s="1" t="str">
        <f>"74440"</f>
        <v>74440</v>
      </c>
      <c r="B266" s="1" t="s">
        <v>1678</v>
      </c>
      <c r="C266" s="2">
        <v>59.27</v>
      </c>
    </row>
    <row r="267" spans="1:3" ht="11.25">
      <c r="A267" s="1" t="str">
        <f>"74445"</f>
        <v>74445</v>
      </c>
      <c r="B267" s="1" t="s">
        <v>1333</v>
      </c>
      <c r="C267" s="2">
        <v>93.45</v>
      </c>
    </row>
    <row r="268" spans="1:3" ht="11.25">
      <c r="A268" s="1" t="str">
        <f>"74450"</f>
        <v>74450</v>
      </c>
      <c r="B268" s="1" t="s">
        <v>714</v>
      </c>
      <c r="C268" s="2">
        <v>76.3</v>
      </c>
    </row>
    <row r="269" spans="1:3" ht="11.25">
      <c r="A269" s="1" t="str">
        <f>"74455"</f>
        <v>74455</v>
      </c>
      <c r="B269" s="1" t="s">
        <v>329</v>
      </c>
      <c r="C269" s="2">
        <v>82.41</v>
      </c>
    </row>
    <row r="270" spans="1:3" ht="11.25">
      <c r="A270" s="1" t="str">
        <f>"74470"</f>
        <v>74470</v>
      </c>
      <c r="B270" s="1" t="s">
        <v>504</v>
      </c>
      <c r="C270" s="2">
        <v>67.23</v>
      </c>
    </row>
    <row r="271" spans="1:3" ht="11.25">
      <c r="A271" s="1" t="str">
        <f>"74475"</f>
        <v>74475</v>
      </c>
      <c r="B271" s="1" t="s">
        <v>303</v>
      </c>
      <c r="C271" s="2">
        <v>187.87</v>
      </c>
    </row>
    <row r="272" spans="1:3" ht="11.25">
      <c r="A272" s="1" t="str">
        <f>"74480"</f>
        <v>74480</v>
      </c>
      <c r="B272" s="1" t="s">
        <v>1667</v>
      </c>
      <c r="C272" s="2">
        <v>300.37</v>
      </c>
    </row>
    <row r="273" spans="1:3" ht="11.25">
      <c r="A273" s="1" t="str">
        <f>"74485"</f>
        <v>74485</v>
      </c>
      <c r="B273" s="1" t="s">
        <v>445</v>
      </c>
      <c r="C273" s="2">
        <v>164.59</v>
      </c>
    </row>
    <row r="274" spans="1:3" ht="11.25">
      <c r="A274" s="1" t="str">
        <f>"74710"</f>
        <v>74710</v>
      </c>
      <c r="B274" s="1" t="s">
        <v>1437</v>
      </c>
      <c r="C274" s="2">
        <v>55.01</v>
      </c>
    </row>
    <row r="275" spans="1:3" ht="11.25">
      <c r="A275" s="1" t="str">
        <f>"74740"</f>
        <v>74740</v>
      </c>
      <c r="B275" s="1" t="s">
        <v>1750</v>
      </c>
      <c r="C275" s="2">
        <v>68.05</v>
      </c>
    </row>
    <row r="276" spans="1:3" ht="11.25">
      <c r="A276" s="1" t="str">
        <f>"74775"</f>
        <v>74775</v>
      </c>
      <c r="B276" s="1" t="s">
        <v>1492</v>
      </c>
      <c r="C276" s="2">
        <v>76.3</v>
      </c>
    </row>
    <row r="277" spans="1:3" ht="11.25">
      <c r="A277" s="1" t="str">
        <f>"75557"</f>
        <v>75557</v>
      </c>
      <c r="B277" s="1" t="s">
        <v>239</v>
      </c>
      <c r="C277" s="2">
        <v>585.7</v>
      </c>
    </row>
    <row r="278" spans="1:3" ht="11.25">
      <c r="A278" s="1" t="str">
        <f>"75558"</f>
        <v>75558</v>
      </c>
      <c r="B278" s="1" t="s">
        <v>1482</v>
      </c>
      <c r="C278" s="2">
        <v>585.7</v>
      </c>
    </row>
    <row r="279" spans="1:3" ht="11.25">
      <c r="A279" s="1" t="str">
        <f>"75559"</f>
        <v>75559</v>
      </c>
      <c r="B279" s="1" t="s">
        <v>1282</v>
      </c>
      <c r="C279" s="2">
        <v>585.7</v>
      </c>
    </row>
    <row r="280" spans="1:3" ht="11.25">
      <c r="A280" s="1" t="str">
        <f>"75560"</f>
        <v>75560</v>
      </c>
      <c r="B280" s="1" t="s">
        <v>1463</v>
      </c>
      <c r="C280" s="2">
        <v>585.7</v>
      </c>
    </row>
    <row r="281" spans="1:3" ht="11.25">
      <c r="A281" s="1" t="str">
        <f>"75561"</f>
        <v>75561</v>
      </c>
      <c r="B281" s="1" t="s">
        <v>1122</v>
      </c>
      <c r="C281" s="2">
        <v>585.7</v>
      </c>
    </row>
    <row r="282" spans="1:3" ht="11.25">
      <c r="A282" s="1" t="str">
        <f>"75562"</f>
        <v>75562</v>
      </c>
      <c r="B282" s="1" t="s">
        <v>1111</v>
      </c>
      <c r="C282" s="2">
        <v>585.7</v>
      </c>
    </row>
    <row r="283" spans="1:3" ht="11.25">
      <c r="A283" s="1" t="str">
        <f>"75563"</f>
        <v>75563</v>
      </c>
      <c r="B283" s="1" t="s">
        <v>771</v>
      </c>
      <c r="C283" s="2">
        <v>585.7</v>
      </c>
    </row>
    <row r="284" spans="1:3" ht="11.25">
      <c r="A284" s="1" t="str">
        <f>"75564"</f>
        <v>75564</v>
      </c>
      <c r="B284" s="1" t="s">
        <v>71</v>
      </c>
      <c r="C284" s="2">
        <v>585.7</v>
      </c>
    </row>
    <row r="285" spans="1:3" ht="11.25">
      <c r="A285" s="1" t="str">
        <f>"75600"</f>
        <v>75600</v>
      </c>
      <c r="B285" s="1" t="s">
        <v>182</v>
      </c>
      <c r="C285" s="2">
        <v>536.59</v>
      </c>
    </row>
    <row r="286" spans="1:3" ht="11.25">
      <c r="A286" s="1" t="str">
        <f>"75605"</f>
        <v>75605</v>
      </c>
      <c r="B286" s="1" t="s">
        <v>1055</v>
      </c>
      <c r="C286" s="2">
        <v>560.4</v>
      </c>
    </row>
    <row r="287" spans="1:3" ht="11.25">
      <c r="A287" s="1" t="str">
        <f>"75625"</f>
        <v>75625</v>
      </c>
      <c r="B287" s="1" t="s">
        <v>1034</v>
      </c>
      <c r="C287" s="2">
        <v>560.4</v>
      </c>
    </row>
    <row r="288" spans="1:3" ht="11.25">
      <c r="A288" s="1" t="str">
        <f>"75630"</f>
        <v>75630</v>
      </c>
      <c r="B288" s="1" t="s">
        <v>1390</v>
      </c>
      <c r="C288" s="2">
        <v>588.55</v>
      </c>
    </row>
    <row r="289" spans="1:3" ht="11.25">
      <c r="A289" s="1" t="str">
        <f>"75635"</f>
        <v>75635</v>
      </c>
      <c r="B289" s="1" t="s">
        <v>116</v>
      </c>
      <c r="C289" s="2">
        <v>667.42</v>
      </c>
    </row>
    <row r="290" spans="1:3" ht="11.25">
      <c r="A290" s="1" t="str">
        <f>"75650"</f>
        <v>75650</v>
      </c>
      <c r="B290" s="1" t="s">
        <v>204</v>
      </c>
      <c r="C290" s="2">
        <v>573.02</v>
      </c>
    </row>
    <row r="291" spans="1:3" ht="11.25">
      <c r="A291" s="1" t="str">
        <f>"75658"</f>
        <v>75658</v>
      </c>
      <c r="B291" s="1" t="s">
        <v>720</v>
      </c>
      <c r="C291" s="2">
        <v>566.7</v>
      </c>
    </row>
    <row r="292" spans="1:3" ht="11.25">
      <c r="A292" s="1" t="str">
        <f>"75660"</f>
        <v>75660</v>
      </c>
      <c r="B292" s="1" t="s">
        <v>1663</v>
      </c>
      <c r="C292" s="2">
        <v>566.7</v>
      </c>
    </row>
    <row r="293" spans="1:3" ht="11.25">
      <c r="A293" s="1" t="str">
        <f>"75662"</f>
        <v>75662</v>
      </c>
      <c r="B293" s="1" t="s">
        <v>1250</v>
      </c>
      <c r="C293" s="2">
        <v>579.38</v>
      </c>
    </row>
    <row r="294" spans="1:3" ht="11.25">
      <c r="A294" s="1" t="str">
        <f>"75665"</f>
        <v>75665</v>
      </c>
      <c r="B294" s="1" t="s">
        <v>19</v>
      </c>
      <c r="C294" s="2">
        <v>566.7</v>
      </c>
    </row>
    <row r="295" spans="1:3" ht="11.25">
      <c r="A295" s="1" t="str">
        <f>"75671"</f>
        <v>75671</v>
      </c>
      <c r="B295" s="1" t="s">
        <v>1615</v>
      </c>
      <c r="C295" s="2">
        <v>579.38</v>
      </c>
    </row>
    <row r="296" spans="1:3" ht="11.25">
      <c r="A296" s="1" t="str">
        <f>"75676"</f>
        <v>75676</v>
      </c>
      <c r="B296" s="1" t="s">
        <v>770</v>
      </c>
      <c r="C296" s="2">
        <v>566.7</v>
      </c>
    </row>
    <row r="297" spans="1:3" ht="11.25">
      <c r="A297" s="1" t="str">
        <f>"75680"</f>
        <v>75680</v>
      </c>
      <c r="B297" s="1" t="s">
        <v>115</v>
      </c>
      <c r="C297" s="2">
        <v>579.38</v>
      </c>
    </row>
    <row r="298" spans="1:3" ht="11.25">
      <c r="A298" s="1" t="str">
        <f>"75685"</f>
        <v>75685</v>
      </c>
      <c r="B298" s="1" t="s">
        <v>1458</v>
      </c>
      <c r="C298" s="2">
        <v>566.7</v>
      </c>
    </row>
    <row r="299" spans="1:3" ht="11.25">
      <c r="A299" s="1" t="str">
        <f>"75705"</f>
        <v>75705</v>
      </c>
      <c r="B299" s="1" t="s">
        <v>173</v>
      </c>
      <c r="C299" s="2">
        <v>658.56</v>
      </c>
    </row>
    <row r="300" spans="1:3" ht="11.25">
      <c r="A300" s="1" t="str">
        <f>"75710"</f>
        <v>75710</v>
      </c>
      <c r="B300" s="1" t="s">
        <v>369</v>
      </c>
      <c r="C300" s="2">
        <v>560.4</v>
      </c>
    </row>
    <row r="301" spans="1:3" ht="11.25">
      <c r="A301" s="1" t="str">
        <f>"75716"</f>
        <v>75716</v>
      </c>
      <c r="B301" s="1" t="s">
        <v>1368</v>
      </c>
      <c r="C301" s="2">
        <v>566.7</v>
      </c>
    </row>
    <row r="302" spans="1:3" ht="11.25">
      <c r="A302" s="1" t="str">
        <f>"75722"</f>
        <v>75722</v>
      </c>
      <c r="B302" s="1" t="s">
        <v>109</v>
      </c>
      <c r="C302" s="2">
        <v>560.4</v>
      </c>
    </row>
    <row r="303" spans="1:3" ht="11.25">
      <c r="A303" s="1" t="str">
        <f>"75724"</f>
        <v>75724</v>
      </c>
      <c r="B303" s="1" t="s">
        <v>1186</v>
      </c>
      <c r="C303" s="2">
        <v>573.02</v>
      </c>
    </row>
    <row r="304" spans="1:3" ht="11.25">
      <c r="A304" s="1" t="str">
        <f>"75726"</f>
        <v>75726</v>
      </c>
      <c r="B304" s="1" t="s">
        <v>58</v>
      </c>
      <c r="C304" s="2">
        <v>560.4</v>
      </c>
    </row>
    <row r="305" spans="1:3" ht="11.25">
      <c r="A305" s="1" t="str">
        <f>"75731"</f>
        <v>75731</v>
      </c>
      <c r="B305" s="1" t="s">
        <v>890</v>
      </c>
      <c r="C305" s="2">
        <v>560.4</v>
      </c>
    </row>
    <row r="306" spans="1:3" ht="11.25">
      <c r="A306" s="1" t="str">
        <f>"75733"</f>
        <v>75733</v>
      </c>
      <c r="B306" s="1" t="s">
        <v>1293</v>
      </c>
      <c r="C306" s="2">
        <v>566.7</v>
      </c>
    </row>
    <row r="307" spans="1:3" ht="11.25">
      <c r="A307" s="1" t="str">
        <f>"75736"</f>
        <v>75736</v>
      </c>
      <c r="B307" s="1" t="s">
        <v>1123</v>
      </c>
      <c r="C307" s="2">
        <v>560.4</v>
      </c>
    </row>
    <row r="308" spans="1:3" ht="11.25">
      <c r="A308" s="1" t="str">
        <f>"75741"</f>
        <v>75741</v>
      </c>
      <c r="B308" s="1" t="s">
        <v>649</v>
      </c>
      <c r="C308" s="2">
        <v>566.7</v>
      </c>
    </row>
    <row r="309" spans="1:3" ht="11.25">
      <c r="A309" s="1" t="str">
        <f>"75743"</f>
        <v>75743</v>
      </c>
      <c r="B309" s="1" t="s">
        <v>566</v>
      </c>
      <c r="C309" s="2">
        <v>579.38</v>
      </c>
    </row>
    <row r="310" spans="1:3" ht="11.25">
      <c r="A310" s="1" t="str">
        <f>"75746"</f>
        <v>75746</v>
      </c>
      <c r="B310" s="1" t="s">
        <v>55</v>
      </c>
      <c r="C310" s="2">
        <v>560.4</v>
      </c>
    </row>
    <row r="311" spans="1:3" ht="11.25">
      <c r="A311" s="1" t="str">
        <f>"75756"</f>
        <v>75756</v>
      </c>
      <c r="B311" s="1" t="s">
        <v>606</v>
      </c>
      <c r="C311" s="2">
        <v>560.4</v>
      </c>
    </row>
    <row r="312" spans="1:3" ht="11.25">
      <c r="A312" s="1" t="str">
        <f>"75774"</f>
        <v>75774</v>
      </c>
      <c r="B312" s="1" t="s">
        <v>1733</v>
      </c>
      <c r="C312" s="2">
        <v>531.23</v>
      </c>
    </row>
    <row r="313" spans="1:3" ht="11.25">
      <c r="A313" s="1" t="str">
        <f>"75790"</f>
        <v>75790</v>
      </c>
      <c r="B313" s="1" t="s">
        <v>352</v>
      </c>
      <c r="C313" s="2">
        <v>229.31</v>
      </c>
    </row>
    <row r="314" spans="1:3" ht="11.25">
      <c r="A314" s="1" t="str">
        <f>"75801"</f>
        <v>75801</v>
      </c>
      <c r="B314" s="1" t="s">
        <v>396</v>
      </c>
      <c r="C314" s="2">
        <v>252.66</v>
      </c>
    </row>
    <row r="315" spans="1:3" ht="11.25">
      <c r="A315" s="1" t="str">
        <f>"75803"</f>
        <v>75803</v>
      </c>
      <c r="B315" s="1" t="s">
        <v>489</v>
      </c>
      <c r="C315" s="2">
        <v>265.68</v>
      </c>
    </row>
    <row r="316" spans="1:3" ht="11.25">
      <c r="A316" s="1" t="str">
        <f>"75805"</f>
        <v>75805</v>
      </c>
      <c r="B316" s="1" t="s">
        <v>1671</v>
      </c>
      <c r="C316" s="2">
        <v>280.59</v>
      </c>
    </row>
    <row r="317" spans="1:3" ht="11.25">
      <c r="A317" s="1" t="str">
        <f>"75807"</f>
        <v>75807</v>
      </c>
      <c r="B317" s="1" t="s">
        <v>1545</v>
      </c>
      <c r="C317" s="2">
        <v>293.63</v>
      </c>
    </row>
    <row r="318" spans="1:3" ht="11.25">
      <c r="A318" s="1" t="str">
        <f>"75809"</f>
        <v>75809</v>
      </c>
      <c r="B318" s="1" t="s">
        <v>553</v>
      </c>
      <c r="C318" s="2">
        <v>48.21</v>
      </c>
    </row>
    <row r="319" spans="1:3" ht="11.25">
      <c r="A319" s="1" t="str">
        <f>"75810"</f>
        <v>75810</v>
      </c>
      <c r="B319" s="1" t="s">
        <v>542</v>
      </c>
      <c r="C319" s="2">
        <v>560.4</v>
      </c>
    </row>
    <row r="320" spans="1:3" ht="11.25">
      <c r="A320" s="1" t="str">
        <f>"75820"</f>
        <v>75820</v>
      </c>
      <c r="B320" s="1" t="s">
        <v>440</v>
      </c>
      <c r="C320" s="2">
        <v>90.12</v>
      </c>
    </row>
    <row r="321" spans="1:3" ht="11.25">
      <c r="A321" s="1" t="str">
        <f>"75822"</f>
        <v>75822</v>
      </c>
      <c r="B321" s="1" t="s">
        <v>1238</v>
      </c>
      <c r="C321" s="2">
        <v>135.48</v>
      </c>
    </row>
    <row r="322" spans="1:3" ht="11.25">
      <c r="A322" s="1" t="str">
        <f>"75825"</f>
        <v>75825</v>
      </c>
      <c r="B322" s="1" t="s">
        <v>802</v>
      </c>
      <c r="C322" s="2">
        <v>560.4</v>
      </c>
    </row>
    <row r="323" spans="1:3" ht="11.25">
      <c r="A323" s="1" t="str">
        <f>"75827"</f>
        <v>75827</v>
      </c>
      <c r="B323" s="1" t="s">
        <v>1371</v>
      </c>
      <c r="C323" s="2">
        <v>560.4</v>
      </c>
    </row>
    <row r="324" spans="1:3" ht="11.25">
      <c r="A324" s="1" t="str">
        <f>"75831"</f>
        <v>75831</v>
      </c>
      <c r="B324" s="1" t="s">
        <v>1403</v>
      </c>
      <c r="C324" s="2">
        <v>560.4</v>
      </c>
    </row>
    <row r="325" spans="1:3" ht="11.25">
      <c r="A325" s="1" t="str">
        <f>"75833"</f>
        <v>75833</v>
      </c>
      <c r="B325" s="1" t="s">
        <v>1731</v>
      </c>
      <c r="C325" s="2">
        <v>573.02</v>
      </c>
    </row>
    <row r="326" spans="1:3" ht="11.25">
      <c r="A326" s="1" t="str">
        <f>"75840"</f>
        <v>75840</v>
      </c>
      <c r="B326" s="1" t="s">
        <v>1071</v>
      </c>
      <c r="C326" s="2">
        <v>560.4</v>
      </c>
    </row>
    <row r="327" spans="1:3" ht="11.25">
      <c r="A327" s="1" t="str">
        <f>"75842"</f>
        <v>75842</v>
      </c>
      <c r="B327" s="1" t="s">
        <v>1087</v>
      </c>
      <c r="C327" s="2">
        <v>573.02</v>
      </c>
    </row>
    <row r="328" spans="1:3" ht="11.25">
      <c r="A328" s="1" t="str">
        <f>"75860"</f>
        <v>75860</v>
      </c>
      <c r="B328" s="1" t="s">
        <v>779</v>
      </c>
      <c r="C328" s="2">
        <v>560.4</v>
      </c>
    </row>
    <row r="329" spans="1:3" ht="11.25">
      <c r="A329" s="1" t="str">
        <f>"75870"</f>
        <v>75870</v>
      </c>
      <c r="B329" s="1" t="s">
        <v>1461</v>
      </c>
      <c r="C329" s="2">
        <v>560.4</v>
      </c>
    </row>
    <row r="330" spans="1:3" ht="11.25">
      <c r="A330" s="1" t="str">
        <f>"75872"</f>
        <v>75872</v>
      </c>
      <c r="B330" s="1" t="s">
        <v>1642</v>
      </c>
      <c r="C330" s="2">
        <v>560.4</v>
      </c>
    </row>
    <row r="331" spans="1:3" ht="11.25">
      <c r="A331" s="1" t="str">
        <f>"75880"</f>
        <v>75880</v>
      </c>
      <c r="B331" s="1" t="s">
        <v>1654</v>
      </c>
      <c r="C331" s="2">
        <v>90.12</v>
      </c>
    </row>
    <row r="332" spans="1:3" ht="11.25">
      <c r="A332" s="1" t="str">
        <f>"75885"</f>
        <v>75885</v>
      </c>
      <c r="B332" s="1" t="s">
        <v>1641</v>
      </c>
      <c r="C332" s="2">
        <v>571.4</v>
      </c>
    </row>
    <row r="333" spans="1:3" ht="11.25">
      <c r="A333" s="1" t="str">
        <f>"75887"</f>
        <v>75887</v>
      </c>
      <c r="B333" s="1" t="s">
        <v>1072</v>
      </c>
      <c r="C333" s="2">
        <v>571.4</v>
      </c>
    </row>
    <row r="334" spans="1:3" ht="11.25">
      <c r="A334" s="1" t="str">
        <f>"75889"</f>
        <v>75889</v>
      </c>
      <c r="B334" s="1" t="s">
        <v>1535</v>
      </c>
      <c r="C334" s="2">
        <v>560.4</v>
      </c>
    </row>
    <row r="335" spans="1:3" ht="11.25">
      <c r="A335" s="1" t="str">
        <f>"75891"</f>
        <v>75891</v>
      </c>
      <c r="B335" s="1" t="s">
        <v>1312</v>
      </c>
      <c r="C335" s="2">
        <v>560.4</v>
      </c>
    </row>
    <row r="336" spans="1:3" ht="11.25">
      <c r="A336" s="1" t="str">
        <f>"75893"</f>
        <v>75893</v>
      </c>
      <c r="B336" s="1" t="s">
        <v>1388</v>
      </c>
      <c r="C336" s="2">
        <v>527.56</v>
      </c>
    </row>
    <row r="337" spans="1:3" ht="11.25">
      <c r="A337" s="1" t="str">
        <f>"75894"</f>
        <v>75894</v>
      </c>
      <c r="B337" s="1" t="s">
        <v>131</v>
      </c>
      <c r="C337" s="2">
        <v>1041.41</v>
      </c>
    </row>
    <row r="338" spans="1:3" ht="11.25">
      <c r="A338" s="1" t="str">
        <f>"75896"</f>
        <v>75896</v>
      </c>
      <c r="B338" s="1" t="s">
        <v>1396</v>
      </c>
      <c r="C338" s="2">
        <v>911.97</v>
      </c>
    </row>
    <row r="339" spans="1:3" ht="11.25">
      <c r="A339" s="1" t="str">
        <f>"75898"</f>
        <v>75898</v>
      </c>
      <c r="B339" s="1" t="s">
        <v>1468</v>
      </c>
      <c r="C339" s="2">
        <v>55.01</v>
      </c>
    </row>
    <row r="340" spans="1:3" ht="11.25">
      <c r="A340" s="1" t="str">
        <f>"75900"</f>
        <v>75900</v>
      </c>
      <c r="B340" s="1" t="s">
        <v>149</v>
      </c>
      <c r="C340" s="2">
        <v>1096.45</v>
      </c>
    </row>
    <row r="341" spans="1:3" ht="11.25">
      <c r="A341" s="1" t="str">
        <f>"75901"</f>
        <v>75901</v>
      </c>
      <c r="B341" s="1" t="s">
        <v>1262</v>
      </c>
      <c r="C341" s="2">
        <v>82.22</v>
      </c>
    </row>
    <row r="342" spans="1:3" ht="11.25">
      <c r="A342" s="1" t="str">
        <f>"75902"</f>
        <v>75902</v>
      </c>
      <c r="B342" s="1" t="s">
        <v>573</v>
      </c>
      <c r="C342" s="2">
        <v>82.22</v>
      </c>
    </row>
    <row r="343" spans="1:3" ht="11.25">
      <c r="A343" s="1" t="str">
        <f>"75940"</f>
        <v>75940</v>
      </c>
      <c r="B343" s="1" t="s">
        <v>1533</v>
      </c>
      <c r="C343" s="2">
        <v>538.82</v>
      </c>
    </row>
    <row r="344" spans="1:3" ht="11.25">
      <c r="A344" s="1" t="str">
        <f>"75945"</f>
        <v>75945</v>
      </c>
      <c r="B344" s="1" t="s">
        <v>769</v>
      </c>
      <c r="C344" s="2">
        <v>236.05</v>
      </c>
    </row>
    <row r="345" spans="1:3" ht="11.25">
      <c r="A345" s="1" t="str">
        <f>"75946"</f>
        <v>75946</v>
      </c>
      <c r="B345" s="1" t="s">
        <v>520</v>
      </c>
      <c r="C345" s="2">
        <v>118.29</v>
      </c>
    </row>
    <row r="346" spans="1:3" ht="11.25">
      <c r="A346" s="1" t="str">
        <f>"75952"</f>
        <v>75952</v>
      </c>
      <c r="B346" s="1" t="s">
        <v>623</v>
      </c>
      <c r="C346" s="2">
        <v>220.96</v>
      </c>
    </row>
    <row r="347" spans="1:3" ht="11.25">
      <c r="A347" s="1" t="str">
        <f>"75953"</f>
        <v>75953</v>
      </c>
      <c r="B347" s="1" t="s">
        <v>964</v>
      </c>
      <c r="C347" s="2">
        <v>22.68</v>
      </c>
    </row>
    <row r="348" spans="1:3" ht="11.25">
      <c r="A348" s="1" t="str">
        <f>"75960"</f>
        <v>75960</v>
      </c>
      <c r="B348" s="1" t="s">
        <v>791</v>
      </c>
      <c r="C348" s="2">
        <v>778.51</v>
      </c>
    </row>
    <row r="349" spans="1:3" ht="11.25">
      <c r="A349" s="1" t="str">
        <f>"75961"</f>
        <v>75961</v>
      </c>
      <c r="B349" s="1" t="s">
        <v>690</v>
      </c>
      <c r="C349" s="2">
        <v>501.49</v>
      </c>
    </row>
    <row r="350" spans="1:3" ht="11.25">
      <c r="A350" s="1" t="str">
        <f>"75962"</f>
        <v>75962</v>
      </c>
      <c r="B350" s="1" t="s">
        <v>1300</v>
      </c>
      <c r="C350" s="2">
        <v>668.07</v>
      </c>
    </row>
    <row r="351" spans="1:3" ht="11.25">
      <c r="A351" s="1" t="str">
        <f>"75964"</f>
        <v>75964</v>
      </c>
      <c r="B351" s="1" t="s">
        <v>654</v>
      </c>
      <c r="C351" s="2">
        <v>358.21</v>
      </c>
    </row>
    <row r="352" spans="1:3" ht="11.25">
      <c r="A352" s="1" t="str">
        <f>"75966"</f>
        <v>75966</v>
      </c>
      <c r="B352" s="1" t="s">
        <v>630</v>
      </c>
      <c r="C352" s="2">
        <v>695.93</v>
      </c>
    </row>
    <row r="353" spans="1:3" ht="11.25">
      <c r="A353" s="1" t="str">
        <f>"75968"</f>
        <v>75968</v>
      </c>
      <c r="B353" s="1" t="s">
        <v>412</v>
      </c>
      <c r="C353" s="2">
        <v>358.21</v>
      </c>
    </row>
    <row r="354" spans="1:3" ht="11.25">
      <c r="A354" s="1" t="str">
        <f>"75970"</f>
        <v>75970</v>
      </c>
      <c r="B354" s="1" t="s">
        <v>37</v>
      </c>
      <c r="C354" s="2">
        <v>505.29</v>
      </c>
    </row>
    <row r="355" spans="1:3" ht="11.25">
      <c r="A355" s="1" t="str">
        <f>"75980"</f>
        <v>75980</v>
      </c>
      <c r="B355" s="1" t="s">
        <v>1212</v>
      </c>
      <c r="C355" s="2">
        <v>275.84</v>
      </c>
    </row>
    <row r="356" spans="1:3" ht="11.25">
      <c r="A356" s="1" t="str">
        <f>"75982"</f>
        <v>75982</v>
      </c>
      <c r="B356" s="1" t="s">
        <v>1375</v>
      </c>
      <c r="C356" s="2">
        <v>303.81</v>
      </c>
    </row>
    <row r="357" spans="1:3" ht="11.25">
      <c r="A357" s="1" t="str">
        <f>"75984"</f>
        <v>75984</v>
      </c>
      <c r="B357" s="1" t="s">
        <v>525</v>
      </c>
      <c r="C357" s="2">
        <v>102.08</v>
      </c>
    </row>
    <row r="358" spans="1:3" ht="11.25">
      <c r="A358" s="1" t="str">
        <f>"75989"</f>
        <v>75989</v>
      </c>
      <c r="B358" s="1" t="s">
        <v>454</v>
      </c>
      <c r="C358" s="2">
        <v>164.59</v>
      </c>
    </row>
    <row r="359" spans="1:3" ht="11.25">
      <c r="A359" s="1" t="str">
        <f>"75992"</f>
        <v>75992</v>
      </c>
      <c r="B359" s="1" t="s">
        <v>312</v>
      </c>
      <c r="C359" s="2">
        <v>668.07</v>
      </c>
    </row>
    <row r="360" spans="1:3" ht="11.25">
      <c r="A360" s="1" t="str">
        <f>"75993"</f>
        <v>75993</v>
      </c>
      <c r="B360" s="1" t="s">
        <v>851</v>
      </c>
      <c r="C360" s="2">
        <v>358.21</v>
      </c>
    </row>
    <row r="361" spans="1:3" ht="11.25">
      <c r="A361" s="1" t="str">
        <f>"75994"</f>
        <v>75994</v>
      </c>
      <c r="B361" s="1" t="s">
        <v>628</v>
      </c>
      <c r="C361" s="2">
        <v>695.93</v>
      </c>
    </row>
    <row r="362" spans="1:3" ht="11.25">
      <c r="A362" s="1" t="str">
        <f>"75995"</f>
        <v>75995</v>
      </c>
      <c r="B362" s="1" t="s">
        <v>319</v>
      </c>
      <c r="C362" s="2">
        <v>695.93</v>
      </c>
    </row>
    <row r="363" spans="1:3" ht="11.25">
      <c r="A363" s="1" t="str">
        <f>"75996"</f>
        <v>75996</v>
      </c>
      <c r="B363" s="1" t="s">
        <v>768</v>
      </c>
      <c r="C363" s="2">
        <v>358.21</v>
      </c>
    </row>
    <row r="364" spans="1:3" ht="11.25">
      <c r="A364" s="1" t="str">
        <f>"76000"</f>
        <v>76000</v>
      </c>
      <c r="B364" s="1" t="s">
        <v>274</v>
      </c>
      <c r="C364" s="2">
        <v>68.05</v>
      </c>
    </row>
    <row r="365" spans="1:3" ht="11.25">
      <c r="A365" s="1" t="str">
        <f>"76001"</f>
        <v>76001</v>
      </c>
      <c r="B365" s="1" t="s">
        <v>1046</v>
      </c>
      <c r="C365" s="2">
        <v>137.43</v>
      </c>
    </row>
    <row r="366" spans="1:3" ht="11.25">
      <c r="A366" s="1" t="str">
        <f>"76010"</f>
        <v>76010</v>
      </c>
      <c r="B366" s="1" t="s">
        <v>621</v>
      </c>
      <c r="C366" s="2">
        <v>27.4</v>
      </c>
    </row>
    <row r="367" spans="1:3" ht="11.25">
      <c r="A367" s="1" t="str">
        <f>"76080"</f>
        <v>76080</v>
      </c>
      <c r="B367" s="1" t="s">
        <v>1144</v>
      </c>
      <c r="C367" s="2">
        <v>55.01</v>
      </c>
    </row>
    <row r="368" spans="1:3" ht="11.25">
      <c r="A368" s="1" t="str">
        <f>"76098"</f>
        <v>76098</v>
      </c>
      <c r="B368" s="1" t="s">
        <v>1523</v>
      </c>
      <c r="C368" s="2">
        <v>22.06</v>
      </c>
    </row>
    <row r="369" spans="1:3" ht="11.25">
      <c r="A369" s="1" t="str">
        <f>"76100"</f>
        <v>76100</v>
      </c>
      <c r="B369" s="1" t="s">
        <v>835</v>
      </c>
      <c r="C369" s="2">
        <v>65.78</v>
      </c>
    </row>
    <row r="370" spans="1:3" ht="11.25">
      <c r="A370" s="1" t="str">
        <f>"76101"</f>
        <v>76101</v>
      </c>
      <c r="B370" s="1" t="s">
        <v>279</v>
      </c>
      <c r="C370" s="2">
        <v>74.16</v>
      </c>
    </row>
    <row r="371" spans="1:3" ht="11.25">
      <c r="A371" s="1" t="str">
        <f>"76102"</f>
        <v>76102</v>
      </c>
      <c r="B371" s="1" t="s">
        <v>302</v>
      </c>
      <c r="C371" s="2">
        <v>90.64</v>
      </c>
    </row>
    <row r="372" spans="1:3" ht="11.25">
      <c r="A372" s="1" t="str">
        <f>"76120"</f>
        <v>76120</v>
      </c>
      <c r="B372" s="1" t="s">
        <v>1692</v>
      </c>
      <c r="C372" s="2">
        <v>55.01</v>
      </c>
    </row>
    <row r="373" spans="1:3" ht="11.25">
      <c r="A373" s="1" t="str">
        <f>"76125"</f>
        <v>76125</v>
      </c>
      <c r="B373" s="1" t="s">
        <v>119</v>
      </c>
      <c r="C373" s="2">
        <v>41.21</v>
      </c>
    </row>
    <row r="374" spans="1:3" ht="11.25">
      <c r="A374" s="1" t="str">
        <f>"76350"</f>
        <v>76350</v>
      </c>
      <c r="B374" s="1" t="s">
        <v>1453</v>
      </c>
      <c r="C374" s="2">
        <v>214.09</v>
      </c>
    </row>
    <row r="375" spans="1:3" ht="11.25">
      <c r="A375" s="1" t="str">
        <f>"76376"</f>
        <v>76376</v>
      </c>
      <c r="B375" s="1" t="str">
        <f>"3D W/INT&amp;RP COMP TOMOGRA MR IMAG,NO IMAG"</f>
        <v>3D W/INT&amp;RP COMP TOMOGRA MR IMAG,NO IMAG</v>
      </c>
      <c r="C375" s="2">
        <v>210.4</v>
      </c>
    </row>
    <row r="376" spans="1:3" ht="11.25">
      <c r="A376" s="1" t="str">
        <f>"76377"</f>
        <v>76377</v>
      </c>
      <c r="B376" s="1" t="str">
        <f>"3D W/INT&amp;RP COMP TOMOGRA MR IMAG,REQ IMG"</f>
        <v>3D W/INT&amp;RP COMP TOMOGRA MR IMAG,REQ IMG</v>
      </c>
      <c r="C376" s="2">
        <v>30.75</v>
      </c>
    </row>
    <row r="377" spans="1:3" ht="11.25">
      <c r="A377" s="1" t="str">
        <f>"76380"</f>
        <v>76380</v>
      </c>
      <c r="B377" s="1" t="s">
        <v>90</v>
      </c>
      <c r="C377" s="2">
        <v>183.17</v>
      </c>
    </row>
    <row r="378" spans="1:3" ht="11.25">
      <c r="A378" s="1" t="str">
        <f>"76499"</f>
        <v>76499</v>
      </c>
      <c r="B378" s="1" t="s">
        <v>547</v>
      </c>
      <c r="C378" s="2">
        <v>123.22</v>
      </c>
    </row>
    <row r="379" spans="1:3" ht="11.25">
      <c r="A379" s="1" t="str">
        <f>"76506"</f>
        <v>76506</v>
      </c>
      <c r="B379" s="1" t="s">
        <v>1000</v>
      </c>
      <c r="C379" s="2">
        <v>74.16</v>
      </c>
    </row>
    <row r="380" spans="1:3" ht="11.25">
      <c r="A380" s="1" t="str">
        <f>"76510"</f>
        <v>76510</v>
      </c>
      <c r="B380" s="1" t="s">
        <v>262</v>
      </c>
      <c r="C380" s="2">
        <v>55.67</v>
      </c>
    </row>
    <row r="381" spans="1:3" ht="11.25">
      <c r="A381" s="1" t="str">
        <f>"76511"</f>
        <v>76511</v>
      </c>
      <c r="B381" s="1" t="s">
        <v>880</v>
      </c>
      <c r="C381" s="2">
        <v>65.4</v>
      </c>
    </row>
    <row r="382" spans="1:3" ht="11.25">
      <c r="A382" s="1" t="str">
        <f>"76512"</f>
        <v>76512</v>
      </c>
      <c r="B382" s="1" t="s">
        <v>1501</v>
      </c>
      <c r="C382" s="2">
        <v>79.74</v>
      </c>
    </row>
    <row r="383" spans="1:3" ht="11.25">
      <c r="A383" s="1" t="str">
        <f>"76513"</f>
        <v>76513</v>
      </c>
      <c r="B383" s="1" t="s">
        <v>1016</v>
      </c>
      <c r="C383" s="2">
        <v>79.74</v>
      </c>
    </row>
    <row r="384" spans="1:3" ht="11.25">
      <c r="A384" s="1" t="str">
        <f>"76514"</f>
        <v>76514</v>
      </c>
      <c r="B384" s="1" t="s">
        <v>1204</v>
      </c>
      <c r="C384" s="2">
        <v>6.28</v>
      </c>
    </row>
    <row r="385" spans="1:3" ht="11.25">
      <c r="A385" s="1" t="str">
        <f>"76516"</f>
        <v>76516</v>
      </c>
      <c r="B385" s="1" t="s">
        <v>1160</v>
      </c>
      <c r="C385" s="2">
        <v>65.4</v>
      </c>
    </row>
    <row r="386" spans="1:3" ht="11.25">
      <c r="A386" s="1" t="str">
        <f>"76519"</f>
        <v>76519</v>
      </c>
      <c r="B386" s="1" t="s">
        <v>49</v>
      </c>
      <c r="C386" s="2">
        <v>65.4</v>
      </c>
    </row>
    <row r="387" spans="1:3" ht="11.25">
      <c r="A387" s="1" t="str">
        <f>"76529"</f>
        <v>76529</v>
      </c>
      <c r="B387" s="1" t="s">
        <v>397</v>
      </c>
      <c r="C387" s="2">
        <v>71.51</v>
      </c>
    </row>
    <row r="388" spans="1:3" ht="11.25">
      <c r="A388" s="1" t="str">
        <f>"76536"</f>
        <v>76536</v>
      </c>
      <c r="B388" s="1" t="s">
        <v>567</v>
      </c>
      <c r="C388" s="2">
        <v>74.16</v>
      </c>
    </row>
    <row r="389" spans="1:3" ht="11.25">
      <c r="A389" s="1" t="str">
        <f>"76604"</f>
        <v>76604</v>
      </c>
      <c r="B389" s="1" t="s">
        <v>1574</v>
      </c>
      <c r="C389" s="2">
        <v>68.05</v>
      </c>
    </row>
    <row r="390" spans="1:3" ht="11.25">
      <c r="A390" s="1" t="str">
        <f>"76645"</f>
        <v>76645</v>
      </c>
      <c r="B390" s="1" t="s">
        <v>985</v>
      </c>
      <c r="C390" s="2">
        <v>55.01</v>
      </c>
    </row>
    <row r="391" spans="1:3" ht="11.25">
      <c r="A391" s="1" t="str">
        <f>"76700"</f>
        <v>76700</v>
      </c>
      <c r="B391" s="1" t="s">
        <v>1151</v>
      </c>
      <c r="C391" s="2">
        <v>103.15</v>
      </c>
    </row>
    <row r="392" spans="1:3" ht="11.25">
      <c r="A392" s="1" t="str">
        <f>"76705"</f>
        <v>76705</v>
      </c>
      <c r="B392" s="1" t="s">
        <v>1115</v>
      </c>
      <c r="C392" s="2">
        <v>74.16</v>
      </c>
    </row>
    <row r="393" spans="1:3" ht="11.25">
      <c r="A393" s="1" t="str">
        <f>"76770"</f>
        <v>76770</v>
      </c>
      <c r="B393" s="1" t="s">
        <v>113</v>
      </c>
      <c r="C393" s="2">
        <v>103.15</v>
      </c>
    </row>
    <row r="394" spans="1:3" ht="11.25">
      <c r="A394" s="1" t="str">
        <f>"76775"</f>
        <v>76775</v>
      </c>
      <c r="B394" s="1" t="s">
        <v>963</v>
      </c>
      <c r="C394" s="2">
        <v>74.16</v>
      </c>
    </row>
    <row r="395" spans="1:3" ht="11.25">
      <c r="A395" s="1" t="str">
        <f>"76776"</f>
        <v>76776</v>
      </c>
      <c r="B395" s="1" t="s">
        <v>1197</v>
      </c>
      <c r="C395" s="2">
        <v>26.93</v>
      </c>
    </row>
    <row r="396" spans="1:3" ht="11.25">
      <c r="A396" s="1" t="str">
        <f>"76800"</f>
        <v>76800</v>
      </c>
      <c r="B396" s="1" t="s">
        <v>1346</v>
      </c>
      <c r="C396" s="2">
        <v>74.16</v>
      </c>
    </row>
    <row r="397" spans="1:3" ht="11.25">
      <c r="A397" s="1" t="str">
        <f>"76801"</f>
        <v>76801</v>
      </c>
      <c r="B397" s="1" t="s">
        <v>908</v>
      </c>
      <c r="C397" s="2">
        <v>58.07</v>
      </c>
    </row>
    <row r="398" spans="1:3" ht="11.25">
      <c r="A398" s="1" t="str">
        <f>"76802"</f>
        <v>76802</v>
      </c>
      <c r="B398" s="1" t="s">
        <v>82</v>
      </c>
      <c r="C398" s="2">
        <v>40.15</v>
      </c>
    </row>
    <row r="399" spans="1:3" ht="11.25">
      <c r="A399" s="1" t="str">
        <f>"76805"</f>
        <v>76805</v>
      </c>
      <c r="B399" s="1" t="s">
        <v>1174</v>
      </c>
      <c r="C399" s="2">
        <v>109.81</v>
      </c>
    </row>
    <row r="400" spans="1:3" ht="11.25">
      <c r="A400" s="1" t="str">
        <f>"76811"</f>
        <v>76811</v>
      </c>
      <c r="B400" s="1" t="s">
        <v>1526</v>
      </c>
      <c r="C400" s="2">
        <v>196.79</v>
      </c>
    </row>
    <row r="401" spans="1:3" ht="11.25">
      <c r="A401" s="1" t="str">
        <f>"76812"</f>
        <v>76812</v>
      </c>
      <c r="B401" s="1" t="s">
        <v>1269</v>
      </c>
      <c r="C401" s="2">
        <v>62.23</v>
      </c>
    </row>
    <row r="402" spans="1:3" ht="11.25">
      <c r="A402" s="1" t="str">
        <f>"76813"</f>
        <v>76813</v>
      </c>
      <c r="B402" s="1" t="s">
        <v>1476</v>
      </c>
      <c r="C402" s="2">
        <v>41.23</v>
      </c>
    </row>
    <row r="403" spans="1:3" ht="11.25">
      <c r="A403" s="1" t="str">
        <f>"76814"</f>
        <v>76814</v>
      </c>
      <c r="B403" s="1" t="s">
        <v>867</v>
      </c>
      <c r="C403" s="2">
        <v>24.63</v>
      </c>
    </row>
    <row r="404" spans="1:3" ht="11.25">
      <c r="A404" s="1" t="str">
        <f>"76815"</f>
        <v>76815</v>
      </c>
      <c r="B404" s="1" t="s">
        <v>261</v>
      </c>
      <c r="C404" s="2">
        <v>74.16</v>
      </c>
    </row>
    <row r="405" spans="1:3" ht="11.25">
      <c r="A405" s="1" t="str">
        <f>"76816"</f>
        <v>76816</v>
      </c>
      <c r="B405" s="1" t="s">
        <v>641</v>
      </c>
      <c r="C405" s="2">
        <v>58.22</v>
      </c>
    </row>
    <row r="406" spans="1:3" ht="11.25">
      <c r="A406" s="1" t="str">
        <f>"76817"</f>
        <v>76817</v>
      </c>
      <c r="B406" s="1" t="s">
        <v>1753</v>
      </c>
      <c r="C406" s="2">
        <v>82.93</v>
      </c>
    </row>
    <row r="407" spans="1:3" ht="11.25">
      <c r="A407" s="1" t="str">
        <f>"76818"</f>
        <v>76818</v>
      </c>
      <c r="B407" s="1" t="s">
        <v>1400</v>
      </c>
      <c r="C407" s="2">
        <v>84.55</v>
      </c>
    </row>
    <row r="408" spans="1:3" ht="11.25">
      <c r="A408" s="1" t="str">
        <f>"76819"</f>
        <v>76819</v>
      </c>
      <c r="B408" s="1" t="s">
        <v>637</v>
      </c>
      <c r="C408" s="2">
        <v>153.5</v>
      </c>
    </row>
    <row r="409" spans="1:3" ht="11.25">
      <c r="A409" s="1" t="str">
        <f>"76820"</f>
        <v>76820</v>
      </c>
      <c r="B409" s="1" t="s">
        <v>1113</v>
      </c>
      <c r="C409" s="2">
        <v>41.87</v>
      </c>
    </row>
    <row r="410" spans="1:3" ht="11.25">
      <c r="A410" s="1" t="str">
        <f>"76821"</f>
        <v>76821</v>
      </c>
      <c r="B410" s="1" t="s">
        <v>1665</v>
      </c>
      <c r="C410" s="2">
        <v>98.36</v>
      </c>
    </row>
    <row r="411" spans="1:3" ht="11.25">
      <c r="A411" s="1" t="str">
        <f>"76825"</f>
        <v>76825</v>
      </c>
      <c r="B411" s="1" t="s">
        <v>1338</v>
      </c>
      <c r="C411" s="2">
        <v>103.15</v>
      </c>
    </row>
    <row r="412" spans="1:3" ht="11.25">
      <c r="A412" s="1" t="str">
        <f>"76826"</f>
        <v>76826</v>
      </c>
      <c r="B412" s="1" t="s">
        <v>22</v>
      </c>
      <c r="C412" s="2">
        <v>49.74</v>
      </c>
    </row>
    <row r="413" spans="1:3" ht="11.25">
      <c r="A413" s="1" t="str">
        <f>"76827"</f>
        <v>76827</v>
      </c>
      <c r="B413" s="1" t="s">
        <v>663</v>
      </c>
      <c r="C413" s="2">
        <v>90.61</v>
      </c>
    </row>
    <row r="414" spans="1:3" ht="11.25">
      <c r="A414" s="1" t="str">
        <f>"76828"</f>
        <v>76828</v>
      </c>
      <c r="B414" s="1" t="s">
        <v>655</v>
      </c>
      <c r="C414" s="2">
        <v>58.71</v>
      </c>
    </row>
    <row r="415" spans="1:3" ht="11.25">
      <c r="A415" s="1" t="str">
        <f>"76830"</f>
        <v>76830</v>
      </c>
      <c r="B415" s="1" t="s">
        <v>202</v>
      </c>
      <c r="C415" s="2">
        <v>79.74</v>
      </c>
    </row>
    <row r="416" spans="1:3" ht="11.25">
      <c r="A416" s="1" t="str">
        <f>"76831"</f>
        <v>76831</v>
      </c>
      <c r="B416" s="1" t="s">
        <v>13</v>
      </c>
      <c r="C416" s="2">
        <v>85.35</v>
      </c>
    </row>
    <row r="417" spans="1:3" ht="11.25">
      <c r="A417" s="1" t="str">
        <f>"76856"</f>
        <v>76856</v>
      </c>
      <c r="B417" s="1" t="s">
        <v>141</v>
      </c>
      <c r="C417" s="2">
        <v>79.74</v>
      </c>
    </row>
    <row r="418" spans="1:3" ht="11.25">
      <c r="A418" s="1" t="str">
        <f>"76857"</f>
        <v>76857</v>
      </c>
      <c r="B418" s="1" t="s">
        <v>1065</v>
      </c>
      <c r="C418" s="2">
        <v>55.01</v>
      </c>
    </row>
    <row r="419" spans="1:3" ht="11.25">
      <c r="A419" s="1" t="str">
        <f>"76870"</f>
        <v>76870</v>
      </c>
      <c r="B419" s="1" t="s">
        <v>428</v>
      </c>
      <c r="C419" s="2">
        <v>79.74</v>
      </c>
    </row>
    <row r="420" spans="1:3" ht="11.25">
      <c r="A420" s="1" t="str">
        <f>"76872"</f>
        <v>76872</v>
      </c>
      <c r="B420" s="1" t="s">
        <v>521</v>
      </c>
      <c r="C420" s="2">
        <v>106.68</v>
      </c>
    </row>
    <row r="421" spans="1:3" ht="11.25">
      <c r="A421" s="1" t="str">
        <f>"76873"</f>
        <v>76873</v>
      </c>
      <c r="B421" s="1" t="s">
        <v>225</v>
      </c>
      <c r="C421" s="2">
        <v>123.78</v>
      </c>
    </row>
    <row r="422" spans="1:3" ht="11.25">
      <c r="A422" s="1" t="str">
        <f>"76880"</f>
        <v>76880</v>
      </c>
      <c r="B422" s="1" t="s">
        <v>662</v>
      </c>
      <c r="C422" s="2">
        <v>74.16</v>
      </c>
    </row>
    <row r="423" spans="1:3" ht="11.25">
      <c r="A423" s="1" t="str">
        <f>"76885"</f>
        <v>76885</v>
      </c>
      <c r="B423" s="1" t="s">
        <v>193</v>
      </c>
      <c r="C423" s="2">
        <v>85.35</v>
      </c>
    </row>
    <row r="424" spans="1:3" ht="11.25">
      <c r="A424" s="1" t="str">
        <f>"76886"</f>
        <v>76886</v>
      </c>
      <c r="B424" s="1" t="s">
        <v>1104</v>
      </c>
      <c r="C424" s="2">
        <v>85.35</v>
      </c>
    </row>
    <row r="425" spans="1:3" ht="11.25">
      <c r="A425" s="1" t="str">
        <f>"76930"</f>
        <v>76930</v>
      </c>
      <c r="B425" s="1" t="s">
        <v>953</v>
      </c>
      <c r="C425" s="2">
        <v>79.74</v>
      </c>
    </row>
    <row r="426" spans="1:3" ht="11.25">
      <c r="A426" s="1" t="str">
        <f>"76932"</f>
        <v>76932</v>
      </c>
      <c r="B426" s="1" t="s">
        <v>1578</v>
      </c>
      <c r="C426" s="2">
        <v>79.74</v>
      </c>
    </row>
    <row r="427" spans="1:3" ht="11.25">
      <c r="A427" s="1" t="str">
        <f>"76936"</f>
        <v>76936</v>
      </c>
      <c r="B427" s="1" t="s">
        <v>1640</v>
      </c>
      <c r="C427" s="2">
        <v>329.13</v>
      </c>
    </row>
    <row r="428" spans="1:3" ht="11.25">
      <c r="A428" s="1" t="str">
        <f>"76937"</f>
        <v>76937</v>
      </c>
      <c r="B428" s="1" t="s">
        <v>183</v>
      </c>
      <c r="C428" s="2">
        <v>10.38</v>
      </c>
    </row>
    <row r="429" spans="1:3" ht="11.25">
      <c r="A429" s="1" t="str">
        <f>"76940"</f>
        <v>76940</v>
      </c>
      <c r="B429" s="1" t="s">
        <v>1394</v>
      </c>
      <c r="C429" s="2">
        <v>89.32</v>
      </c>
    </row>
    <row r="430" spans="1:3" ht="11.25">
      <c r="A430" s="1" t="str">
        <f>"76941"</f>
        <v>76941</v>
      </c>
      <c r="B430" s="1" t="s">
        <v>1102</v>
      </c>
      <c r="C430" s="2">
        <v>80.04</v>
      </c>
    </row>
    <row r="431" spans="1:3" ht="11.25">
      <c r="A431" s="1" t="str">
        <f>"76942"</f>
        <v>76942</v>
      </c>
      <c r="B431" s="1" t="s">
        <v>1143</v>
      </c>
      <c r="C431" s="2">
        <v>79.74</v>
      </c>
    </row>
    <row r="432" spans="1:3" ht="11.25">
      <c r="A432" s="1" t="str">
        <f>"76945"</f>
        <v>76945</v>
      </c>
      <c r="B432" s="1" t="s">
        <v>153</v>
      </c>
      <c r="C432" s="2">
        <v>80.04</v>
      </c>
    </row>
    <row r="433" spans="1:3" ht="11.25">
      <c r="A433" s="1" t="str">
        <f>"76946"</f>
        <v>76946</v>
      </c>
      <c r="B433" s="1" t="s">
        <v>416</v>
      </c>
      <c r="C433" s="2">
        <v>79.74</v>
      </c>
    </row>
    <row r="434" spans="1:3" ht="11.25">
      <c r="A434" s="1" t="str">
        <f>"76950"</f>
        <v>76950</v>
      </c>
      <c r="B434" s="1" t="s">
        <v>596</v>
      </c>
      <c r="C434" s="2">
        <v>68.05</v>
      </c>
    </row>
    <row r="435" spans="1:3" ht="11.25">
      <c r="A435" s="1" t="str">
        <f>"76965"</f>
        <v>76965</v>
      </c>
      <c r="B435" s="1" t="s">
        <v>221</v>
      </c>
      <c r="C435" s="2">
        <v>294.55</v>
      </c>
    </row>
    <row r="436" spans="1:3" ht="11.25">
      <c r="A436" s="1" t="str">
        <f>"76970"</f>
        <v>76970</v>
      </c>
      <c r="B436" s="1" t="s">
        <v>1527</v>
      </c>
      <c r="C436" s="2">
        <v>55.01</v>
      </c>
    </row>
    <row r="437" spans="1:3" ht="11.25">
      <c r="A437" s="1" t="str">
        <f>"76975"</f>
        <v>76975</v>
      </c>
      <c r="B437" s="1" t="s">
        <v>1297</v>
      </c>
      <c r="C437" s="2">
        <v>79.74</v>
      </c>
    </row>
    <row r="438" spans="1:3" ht="11.25">
      <c r="A438" s="1" t="str">
        <f>"76977"</f>
        <v>76977</v>
      </c>
      <c r="B438" s="1" t="s">
        <v>1066</v>
      </c>
      <c r="C438" s="2">
        <v>65.34</v>
      </c>
    </row>
    <row r="439" spans="1:3" ht="11.25">
      <c r="A439" s="1" t="str">
        <f>"76998"</f>
        <v>76998</v>
      </c>
      <c r="B439" s="1" t="s">
        <v>383</v>
      </c>
      <c r="C439" s="2">
        <v>44.41</v>
      </c>
    </row>
    <row r="440" spans="1:3" ht="11.25">
      <c r="A440" s="1" t="str">
        <f>"76999"</f>
        <v>76999</v>
      </c>
      <c r="B440" s="1" t="s">
        <v>826</v>
      </c>
      <c r="C440" s="2">
        <v>123.22</v>
      </c>
    </row>
    <row r="441" spans="1:3" ht="11.25">
      <c r="A441" s="1" t="str">
        <f>"77001"</f>
        <v>77001</v>
      </c>
      <c r="B441" s="1" t="s">
        <v>1706</v>
      </c>
      <c r="C441" s="2">
        <v>13.81</v>
      </c>
    </row>
    <row r="442" spans="1:3" ht="11.25">
      <c r="A442" s="1" t="str">
        <f>"77002"</f>
        <v>77002</v>
      </c>
      <c r="B442" s="1" t="s">
        <v>104</v>
      </c>
      <c r="C442" s="2">
        <v>19.23</v>
      </c>
    </row>
    <row r="443" spans="1:3" ht="11.25">
      <c r="A443" s="1" t="str">
        <f>"77003"</f>
        <v>77003</v>
      </c>
      <c r="B443" s="1" t="s">
        <v>1711</v>
      </c>
      <c r="C443" s="2">
        <v>31.73</v>
      </c>
    </row>
    <row r="444" spans="1:3" ht="11.25">
      <c r="A444" s="1" t="str">
        <f>"77011"</f>
        <v>77011</v>
      </c>
      <c r="B444" s="1" t="s">
        <v>1359</v>
      </c>
      <c r="C444" s="2">
        <v>186.57</v>
      </c>
    </row>
    <row r="445" spans="1:3" ht="11.25">
      <c r="A445" s="1" t="str">
        <f>"77012"</f>
        <v>77012</v>
      </c>
      <c r="B445" s="1" t="s">
        <v>1552</v>
      </c>
      <c r="C445" s="2">
        <v>432.85</v>
      </c>
    </row>
    <row r="446" spans="1:3" ht="11.25">
      <c r="A446" s="1" t="str">
        <f>"77013"</f>
        <v>77013</v>
      </c>
      <c r="B446" s="1" t="s">
        <v>1713</v>
      </c>
      <c r="C446" s="2">
        <v>143.93</v>
      </c>
    </row>
    <row r="447" spans="1:3" ht="11.25">
      <c r="A447" s="1" t="str">
        <f>"77014"</f>
        <v>77014</v>
      </c>
      <c r="B447" s="1" t="s">
        <v>1051</v>
      </c>
      <c r="C447" s="2">
        <v>163.95</v>
      </c>
    </row>
    <row r="448" spans="1:3" ht="11.25">
      <c r="A448" s="1" t="str">
        <f>"77021"</f>
        <v>77021</v>
      </c>
      <c r="B448" s="1" t="s">
        <v>976</v>
      </c>
      <c r="C448" s="2">
        <v>206.58</v>
      </c>
    </row>
    <row r="449" spans="1:3" ht="11.25">
      <c r="A449" s="1" t="str">
        <f>"77022"</f>
        <v>77022</v>
      </c>
      <c r="B449" s="1" t="s">
        <v>773</v>
      </c>
      <c r="C449" s="2">
        <v>153.11</v>
      </c>
    </row>
    <row r="450" spans="1:3" ht="11.25">
      <c r="A450" s="1" t="str">
        <f>"77031"</f>
        <v>77031</v>
      </c>
      <c r="B450" s="1" t="s">
        <v>1235</v>
      </c>
      <c r="C450" s="2">
        <v>133.3</v>
      </c>
    </row>
    <row r="451" spans="1:3" ht="11.25">
      <c r="A451" s="1" t="str">
        <f>"77032"</f>
        <v>77032</v>
      </c>
      <c r="B451" s="1" t="s">
        <v>315</v>
      </c>
      <c r="C451" s="2">
        <v>71.32</v>
      </c>
    </row>
    <row r="452" spans="1:3" ht="11.25">
      <c r="A452" s="1" t="str">
        <f>"77051"</f>
        <v>77051</v>
      </c>
      <c r="B452" s="1" t="s">
        <v>962</v>
      </c>
      <c r="C452" s="2">
        <v>2.16</v>
      </c>
    </row>
    <row r="453" spans="1:3" ht="11.25">
      <c r="A453" s="1" t="str">
        <f>"77052"</f>
        <v>77052</v>
      </c>
      <c r="B453" s="1" t="s">
        <v>1386</v>
      </c>
      <c r="C453" s="2">
        <v>23.39</v>
      </c>
    </row>
    <row r="454" spans="1:3" ht="11.25">
      <c r="A454" s="1" t="str">
        <f>"77053"</f>
        <v>77053</v>
      </c>
      <c r="B454" s="1" t="s">
        <v>700</v>
      </c>
      <c r="C454" s="2">
        <v>13.06</v>
      </c>
    </row>
    <row r="455" spans="1:3" ht="11.25">
      <c r="A455" s="1" t="str">
        <f>"77054"</f>
        <v>77054</v>
      </c>
      <c r="B455" s="1" t="s">
        <v>23</v>
      </c>
      <c r="C455" s="2">
        <v>16.27</v>
      </c>
    </row>
    <row r="456" spans="1:3" ht="11.25">
      <c r="A456" s="1" t="str">
        <f>"77055"</f>
        <v>77055</v>
      </c>
      <c r="B456" s="1" t="s">
        <v>1441</v>
      </c>
      <c r="C456" s="2">
        <v>73.68</v>
      </c>
    </row>
    <row r="457" spans="1:3" ht="11.25">
      <c r="A457" s="1" t="str">
        <f>"77056"</f>
        <v>77056</v>
      </c>
      <c r="B457" s="1" t="s">
        <v>671</v>
      </c>
      <c r="C457" s="2">
        <v>39.39</v>
      </c>
    </row>
    <row r="458" spans="1:3" ht="11.25">
      <c r="A458" s="1" t="str">
        <f>"77057"</f>
        <v>77057</v>
      </c>
      <c r="B458" s="1" t="s">
        <v>1280</v>
      </c>
      <c r="C458" s="2">
        <v>79.68</v>
      </c>
    </row>
    <row r="459" spans="1:3" ht="11.25">
      <c r="A459" s="1" t="str">
        <f>"77058"</f>
        <v>77058</v>
      </c>
      <c r="B459" s="1" t="s">
        <v>185</v>
      </c>
      <c r="C459" s="2">
        <v>1198.04</v>
      </c>
    </row>
    <row r="460" spans="1:3" ht="11.25">
      <c r="A460" s="1" t="str">
        <f>"77059"</f>
        <v>77059</v>
      </c>
      <c r="B460" s="1" t="s">
        <v>1494</v>
      </c>
      <c r="C460" s="2">
        <v>1508.86</v>
      </c>
    </row>
    <row r="461" spans="1:3" ht="11.25">
      <c r="A461" s="1" t="str">
        <f>"77071"</f>
        <v>77071</v>
      </c>
      <c r="B461" s="1" t="s">
        <v>708</v>
      </c>
      <c r="C461" s="2">
        <v>48.79</v>
      </c>
    </row>
    <row r="462" spans="1:3" ht="11.25">
      <c r="A462" s="1" t="str">
        <f>"77072"</f>
        <v>77072</v>
      </c>
      <c r="B462" s="1" t="s">
        <v>1505</v>
      </c>
      <c r="C462" s="2">
        <v>6.55</v>
      </c>
    </row>
    <row r="463" spans="1:3" ht="11.25">
      <c r="A463" s="1" t="str">
        <f>"77073"</f>
        <v>77073</v>
      </c>
      <c r="B463" s="1" t="s">
        <v>727</v>
      </c>
      <c r="C463" s="2">
        <v>9.74</v>
      </c>
    </row>
    <row r="464" spans="1:3" ht="11.25">
      <c r="A464" s="1" t="str">
        <f>"77074"</f>
        <v>77074</v>
      </c>
      <c r="B464" s="1" t="s">
        <v>1452</v>
      </c>
      <c r="C464" s="2">
        <v>16.27</v>
      </c>
    </row>
    <row r="465" spans="1:3" ht="11.25">
      <c r="A465" s="1" t="str">
        <f>"77075"</f>
        <v>77075</v>
      </c>
      <c r="B465" s="1" t="s">
        <v>1030</v>
      </c>
      <c r="C465" s="2">
        <v>44.16</v>
      </c>
    </row>
    <row r="466" spans="1:3" ht="11.25">
      <c r="A466" s="1" t="str">
        <f>"77076"</f>
        <v>77076</v>
      </c>
      <c r="B466" s="1" t="s">
        <v>244</v>
      </c>
      <c r="C466" s="2">
        <v>64.37</v>
      </c>
    </row>
    <row r="467" spans="1:3" ht="11.25">
      <c r="A467" s="1" t="str">
        <f>"77077"</f>
        <v>77077</v>
      </c>
      <c r="B467" s="1" t="s">
        <v>1147</v>
      </c>
      <c r="C467" s="2">
        <v>63.97</v>
      </c>
    </row>
    <row r="468" spans="1:3" ht="11.25">
      <c r="A468" s="1" t="str">
        <f>"77078"</f>
        <v>77078</v>
      </c>
      <c r="B468" s="1" t="s">
        <v>1316</v>
      </c>
      <c r="C468" s="2">
        <v>8.87</v>
      </c>
    </row>
    <row r="469" spans="1:3" ht="11.25">
      <c r="A469" s="1" t="str">
        <f>"77079"</f>
        <v>77079</v>
      </c>
      <c r="B469" s="1" t="s">
        <v>434</v>
      </c>
      <c r="C469" s="2">
        <v>8</v>
      </c>
    </row>
    <row r="470" spans="1:3" ht="11.25">
      <c r="A470" s="1" t="str">
        <f>"77080"</f>
        <v>77080</v>
      </c>
      <c r="B470" s="1" t="s">
        <v>1345</v>
      </c>
      <c r="C470" s="2">
        <v>52.96</v>
      </c>
    </row>
    <row r="471" spans="1:3" ht="11.25">
      <c r="A471" s="1" t="str">
        <f>"77081"</f>
        <v>77081</v>
      </c>
      <c r="B471" s="1" t="s">
        <v>335</v>
      </c>
      <c r="C471" s="2">
        <v>8.27</v>
      </c>
    </row>
    <row r="472" spans="1:3" ht="11.25">
      <c r="A472" s="1" t="str">
        <f>"77082"</f>
        <v>77082</v>
      </c>
      <c r="B472" s="1" t="s">
        <v>1466</v>
      </c>
      <c r="C472" s="2">
        <v>43.15</v>
      </c>
    </row>
    <row r="473" spans="1:3" ht="11.25">
      <c r="A473" s="1" t="str">
        <f>"77084"</f>
        <v>77084</v>
      </c>
      <c r="B473" s="1" t="s">
        <v>581</v>
      </c>
      <c r="C473" s="2">
        <v>485.7</v>
      </c>
    </row>
    <row r="474" spans="1:3" ht="11.25">
      <c r="A474" s="1">
        <v>77280</v>
      </c>
      <c r="B474" s="1" t="s">
        <v>1756</v>
      </c>
      <c r="C474" s="2">
        <v>181.51</v>
      </c>
    </row>
    <row r="475" spans="1:3" ht="11.25">
      <c r="A475" s="1">
        <v>77300</v>
      </c>
      <c r="B475" s="1" t="s">
        <v>1757</v>
      </c>
      <c r="C475" s="2">
        <v>70.06</v>
      </c>
    </row>
    <row r="476" spans="1:3" ht="11.25">
      <c r="A476" s="1" t="str">
        <f>"77301"</f>
        <v>77301</v>
      </c>
      <c r="B476" s="1" t="s">
        <v>323</v>
      </c>
      <c r="C476" s="2">
        <v>1530.68</v>
      </c>
    </row>
    <row r="477" spans="1:3" ht="11.25">
      <c r="A477" s="1">
        <v>77328</v>
      </c>
      <c r="B477" s="1" t="s">
        <v>1761</v>
      </c>
      <c r="C477" s="2">
        <v>259.17</v>
      </c>
    </row>
    <row r="478" spans="1:3" ht="11.25">
      <c r="A478" s="1">
        <v>77370</v>
      </c>
      <c r="B478" s="1" t="s">
        <v>1762</v>
      </c>
      <c r="C478" s="2">
        <v>27.84</v>
      </c>
    </row>
    <row r="479" spans="1:3" ht="11.25">
      <c r="A479" s="1">
        <v>77413</v>
      </c>
      <c r="B479" s="1" t="s">
        <v>1758</v>
      </c>
      <c r="C479" s="2">
        <v>89.15</v>
      </c>
    </row>
    <row r="480" spans="1:3" ht="11.25">
      <c r="A480" s="1">
        <v>77414</v>
      </c>
      <c r="B480" s="1" t="s">
        <v>1759</v>
      </c>
      <c r="C480" s="2">
        <v>89.15</v>
      </c>
    </row>
    <row r="481" spans="1:3" ht="11.25">
      <c r="A481" s="1">
        <v>77417</v>
      </c>
      <c r="B481" s="1" t="s">
        <v>1760</v>
      </c>
      <c r="C481" s="2">
        <v>38.41</v>
      </c>
    </row>
    <row r="482" spans="1:3" ht="11.25">
      <c r="A482" s="1" t="str">
        <f>"77418"</f>
        <v>77418</v>
      </c>
      <c r="B482" s="1" t="s">
        <v>1556</v>
      </c>
      <c r="C482" s="2">
        <v>915.99</v>
      </c>
    </row>
    <row r="483" spans="1:3" ht="11.25">
      <c r="A483" s="1" t="str">
        <f>"77421"</f>
        <v>77421</v>
      </c>
      <c r="B483" s="1" t="s">
        <v>215</v>
      </c>
      <c r="C483" s="2">
        <v>206.68</v>
      </c>
    </row>
    <row r="484" spans="1:3" ht="11.25">
      <c r="A484" s="1" t="str">
        <f>"77600"</f>
        <v>77600</v>
      </c>
      <c r="B484" s="1" t="s">
        <v>1639</v>
      </c>
      <c r="C484" s="2">
        <v>159</v>
      </c>
    </row>
    <row r="485" spans="1:3" ht="11.25">
      <c r="A485" s="1" t="str">
        <f>"77605"</f>
        <v>77605</v>
      </c>
      <c r="B485" s="1" t="s">
        <v>187</v>
      </c>
      <c r="C485" s="2">
        <v>212.42</v>
      </c>
    </row>
    <row r="486" spans="1:3" ht="11.25">
      <c r="A486" s="1" t="str">
        <f>"77610"</f>
        <v>77610</v>
      </c>
      <c r="B486" s="1" t="s">
        <v>431</v>
      </c>
      <c r="C486" s="2">
        <v>159</v>
      </c>
    </row>
    <row r="487" spans="1:3" ht="11.25">
      <c r="A487" s="1" t="str">
        <f>"77615"</f>
        <v>77615</v>
      </c>
      <c r="B487" s="1" t="s">
        <v>659</v>
      </c>
      <c r="C487" s="2">
        <v>212.42</v>
      </c>
    </row>
    <row r="488" spans="1:3" ht="11.25">
      <c r="A488" s="1" t="str">
        <f>"77620"</f>
        <v>77620</v>
      </c>
      <c r="B488" s="1" t="s">
        <v>647</v>
      </c>
      <c r="C488" s="2">
        <v>159</v>
      </c>
    </row>
    <row r="489" spans="1:3" ht="11.25">
      <c r="A489" s="1" t="str">
        <f>"78000"</f>
        <v>78000</v>
      </c>
      <c r="B489" s="1" t="s">
        <v>1127</v>
      </c>
      <c r="C489" s="2">
        <v>50.51</v>
      </c>
    </row>
    <row r="490" spans="1:3" ht="11.25">
      <c r="A490" s="1" t="str">
        <f>"78001"</f>
        <v>78001</v>
      </c>
      <c r="B490" s="1" t="s">
        <v>1508</v>
      </c>
      <c r="C490" s="2">
        <v>68.05</v>
      </c>
    </row>
    <row r="491" spans="1:3" ht="11.25">
      <c r="A491" s="1" t="str">
        <f>"78003"</f>
        <v>78003</v>
      </c>
      <c r="B491" s="1" t="s">
        <v>1443</v>
      </c>
      <c r="C491" s="2">
        <v>50.51</v>
      </c>
    </row>
    <row r="492" spans="1:3" ht="11.25">
      <c r="A492" s="1" t="str">
        <f>"78006"</f>
        <v>78006</v>
      </c>
      <c r="B492" s="1" t="s">
        <v>702</v>
      </c>
      <c r="C492" s="2">
        <v>124.67</v>
      </c>
    </row>
    <row r="493" spans="1:3" ht="11.25">
      <c r="A493" s="1" t="str">
        <f>"78007"</f>
        <v>78007</v>
      </c>
      <c r="B493" s="1" t="s">
        <v>461</v>
      </c>
      <c r="C493" s="2">
        <v>134.52</v>
      </c>
    </row>
    <row r="494" spans="1:3" ht="11.25">
      <c r="A494" s="1" t="str">
        <f>"78010"</f>
        <v>78010</v>
      </c>
      <c r="B494" s="1" t="s">
        <v>1131</v>
      </c>
      <c r="C494" s="2">
        <v>88.1</v>
      </c>
    </row>
    <row r="495" spans="1:3" ht="11.25">
      <c r="A495" s="1" t="str">
        <f>"78011"</f>
        <v>78011</v>
      </c>
      <c r="B495" s="1" t="s">
        <v>398</v>
      </c>
      <c r="C495" s="2">
        <v>125.73</v>
      </c>
    </row>
    <row r="496" spans="1:3" ht="11.25">
      <c r="A496" s="1" t="str">
        <f>"78015"</f>
        <v>78015</v>
      </c>
      <c r="B496" s="1" t="s">
        <v>85</v>
      </c>
      <c r="C496" s="2">
        <v>134.52</v>
      </c>
    </row>
    <row r="497" spans="1:3" ht="11.25">
      <c r="A497" s="1" t="str">
        <f>"78016"</f>
        <v>78016</v>
      </c>
      <c r="B497" s="1" t="s">
        <v>255</v>
      </c>
      <c r="C497" s="2">
        <v>182.12</v>
      </c>
    </row>
    <row r="498" spans="1:3" ht="11.25">
      <c r="A498" s="1" t="str">
        <f>"78018"</f>
        <v>78018</v>
      </c>
      <c r="B498" s="1" t="s">
        <v>878</v>
      </c>
      <c r="C498" s="2">
        <v>283.67</v>
      </c>
    </row>
    <row r="499" spans="1:3" ht="11.25">
      <c r="A499" s="1" t="str">
        <f>"78070"</f>
        <v>78070</v>
      </c>
      <c r="B499" s="1" t="s">
        <v>1603</v>
      </c>
      <c r="C499" s="2">
        <v>94.9</v>
      </c>
    </row>
    <row r="500" spans="1:3" ht="11.25">
      <c r="A500" s="1" t="str">
        <f>"78075"</f>
        <v>78075</v>
      </c>
      <c r="B500" s="1" t="s">
        <v>749</v>
      </c>
      <c r="C500" s="2">
        <v>283.67</v>
      </c>
    </row>
    <row r="501" spans="1:3" ht="11.25">
      <c r="A501" s="1" t="str">
        <f>"78099"</f>
        <v>78099</v>
      </c>
      <c r="B501" s="1" t="s">
        <v>473</v>
      </c>
      <c r="C501" s="2">
        <v>101.49</v>
      </c>
    </row>
    <row r="502" spans="1:3" ht="11.25">
      <c r="A502" s="1" t="str">
        <f>"78102"</f>
        <v>78102</v>
      </c>
      <c r="B502" s="1" t="s">
        <v>236</v>
      </c>
      <c r="C502" s="2">
        <v>106.61</v>
      </c>
    </row>
    <row r="503" spans="1:3" ht="11.25">
      <c r="A503" s="1" t="str">
        <f>"78103"</f>
        <v>78103</v>
      </c>
      <c r="B503" s="1" t="s">
        <v>148</v>
      </c>
      <c r="C503" s="2">
        <v>165.64</v>
      </c>
    </row>
    <row r="504" spans="1:3" ht="11.25">
      <c r="A504" s="1" t="str">
        <f>"78104"</f>
        <v>78104</v>
      </c>
      <c r="B504" s="1" t="s">
        <v>669</v>
      </c>
      <c r="C504" s="2">
        <v>212.94</v>
      </c>
    </row>
    <row r="505" spans="1:3" ht="11.25">
      <c r="A505" s="1" t="str">
        <f>"78110"</f>
        <v>78110</v>
      </c>
      <c r="B505" s="1" t="s">
        <v>996</v>
      </c>
      <c r="C505" s="2">
        <v>49.45</v>
      </c>
    </row>
    <row r="506" spans="1:3" ht="11.25">
      <c r="A506" s="1" t="str">
        <f>"78111"</f>
        <v>78111</v>
      </c>
      <c r="B506" s="1" t="s">
        <v>1685</v>
      </c>
      <c r="C506" s="2">
        <v>134.52</v>
      </c>
    </row>
    <row r="507" spans="1:3" ht="11.25">
      <c r="A507" s="1" t="str">
        <f>"78120"</f>
        <v>78120</v>
      </c>
      <c r="B507" s="1" t="s">
        <v>1285</v>
      </c>
      <c r="C507" s="2">
        <v>90.64</v>
      </c>
    </row>
    <row r="508" spans="1:3" ht="11.25">
      <c r="A508" s="1" t="str">
        <f>"78121"</f>
        <v>78121</v>
      </c>
      <c r="B508" s="1" t="s">
        <v>888</v>
      </c>
      <c r="C508" s="2">
        <v>151.8</v>
      </c>
    </row>
    <row r="509" spans="1:3" ht="11.25">
      <c r="A509" s="1" t="str">
        <f>"78122"</f>
        <v>78122</v>
      </c>
      <c r="B509" s="1" t="s">
        <v>112</v>
      </c>
      <c r="C509" s="2">
        <v>240.87</v>
      </c>
    </row>
    <row r="510" spans="1:3" ht="11.25">
      <c r="A510" s="1" t="str">
        <f>"78130"</f>
        <v>78130</v>
      </c>
      <c r="B510" s="1" t="s">
        <v>1588</v>
      </c>
      <c r="C510" s="2">
        <v>149.15</v>
      </c>
    </row>
    <row r="511" spans="1:3" ht="11.25">
      <c r="A511" s="1" t="str">
        <f>"78135"</f>
        <v>78135</v>
      </c>
      <c r="B511" s="1" t="s">
        <v>358</v>
      </c>
      <c r="C511" s="2">
        <v>254.68</v>
      </c>
    </row>
    <row r="512" spans="1:3" ht="11.25">
      <c r="A512" s="1" t="str">
        <f>"78140"</f>
        <v>78140</v>
      </c>
      <c r="B512" s="1" t="s">
        <v>325</v>
      </c>
      <c r="C512" s="2">
        <v>205.76</v>
      </c>
    </row>
    <row r="513" spans="1:3" ht="11.25">
      <c r="A513" s="1" t="str">
        <f>"78185"</f>
        <v>78185</v>
      </c>
      <c r="B513" s="1" t="s">
        <v>1182</v>
      </c>
      <c r="C513" s="2">
        <v>123.6</v>
      </c>
    </row>
    <row r="514" spans="1:3" ht="11.25">
      <c r="A514" s="1" t="str">
        <f>"78190"</f>
        <v>78190</v>
      </c>
      <c r="B514" s="1" t="s">
        <v>94</v>
      </c>
      <c r="C514" s="2">
        <v>309.75</v>
      </c>
    </row>
    <row r="515" spans="1:3" ht="11.25">
      <c r="A515" s="1" t="str">
        <f>"78191"</f>
        <v>78191</v>
      </c>
      <c r="B515" s="1" t="s">
        <v>839</v>
      </c>
      <c r="C515" s="2">
        <v>383.39</v>
      </c>
    </row>
    <row r="516" spans="1:3" ht="11.25">
      <c r="A516" s="1" t="str">
        <f>"78195"</f>
        <v>78195</v>
      </c>
      <c r="B516" s="1" t="s">
        <v>1308</v>
      </c>
      <c r="C516" s="2">
        <v>212.94</v>
      </c>
    </row>
    <row r="517" spans="1:3" ht="11.25">
      <c r="A517" s="1" t="str">
        <f>"78201"</f>
        <v>78201</v>
      </c>
      <c r="B517" s="1" t="s">
        <v>36</v>
      </c>
      <c r="C517" s="2">
        <v>123.6</v>
      </c>
    </row>
    <row r="518" spans="1:3" ht="11.25">
      <c r="A518" s="1" t="str">
        <f>"78202"</f>
        <v>78202</v>
      </c>
      <c r="B518" s="1" t="s">
        <v>1332</v>
      </c>
      <c r="C518" s="2">
        <v>150.75</v>
      </c>
    </row>
    <row r="519" spans="1:3" ht="11.25">
      <c r="A519" s="1" t="str">
        <f>"78205"</f>
        <v>78205</v>
      </c>
      <c r="B519" s="1" t="s">
        <v>245</v>
      </c>
      <c r="C519" s="2">
        <v>308.95</v>
      </c>
    </row>
    <row r="520" spans="1:3" ht="11.25">
      <c r="A520" s="1" t="str">
        <f>"78206"</f>
        <v>78206</v>
      </c>
      <c r="B520" s="1" t="s">
        <v>40</v>
      </c>
      <c r="C520" s="2">
        <v>408.79</v>
      </c>
    </row>
    <row r="521" spans="1:3" ht="11.25">
      <c r="A521" s="1" t="str">
        <f>"78215"</f>
        <v>78215</v>
      </c>
      <c r="B521" s="1" t="s">
        <v>1524</v>
      </c>
      <c r="C521" s="2">
        <v>153.43</v>
      </c>
    </row>
    <row r="522" spans="1:3" ht="11.25">
      <c r="A522" s="1" t="str">
        <f>"78216"</f>
        <v>78216</v>
      </c>
      <c r="B522" s="1" t="s">
        <v>1627</v>
      </c>
      <c r="C522" s="2">
        <v>182.12</v>
      </c>
    </row>
    <row r="523" spans="1:3" ht="11.25">
      <c r="A523" s="1" t="str">
        <f>"78220"</f>
        <v>78220</v>
      </c>
      <c r="B523" s="1" t="s">
        <v>689</v>
      </c>
      <c r="C523" s="2">
        <v>194.61</v>
      </c>
    </row>
    <row r="524" spans="1:3" ht="11.25">
      <c r="A524" s="1" t="str">
        <f>"78223"</f>
        <v>78223</v>
      </c>
      <c r="B524" s="1" t="s">
        <v>632</v>
      </c>
      <c r="C524" s="2">
        <v>191.42</v>
      </c>
    </row>
    <row r="525" spans="1:3" ht="11.25">
      <c r="A525" s="1" t="str">
        <f>"78230"</f>
        <v>78230</v>
      </c>
      <c r="B525" s="1" t="s">
        <v>937</v>
      </c>
      <c r="C525" s="2">
        <v>113.77</v>
      </c>
    </row>
    <row r="526" spans="1:3" ht="11.25">
      <c r="A526" s="1" t="str">
        <f>"78231"</f>
        <v>78231</v>
      </c>
      <c r="B526" s="1" t="s">
        <v>1154</v>
      </c>
      <c r="C526" s="2">
        <v>165.64</v>
      </c>
    </row>
    <row r="527" spans="1:3" ht="11.25">
      <c r="A527" s="1" t="str">
        <f>"78232"</f>
        <v>78232</v>
      </c>
      <c r="B527" s="1" t="s">
        <v>984</v>
      </c>
      <c r="C527" s="2">
        <v>184.76</v>
      </c>
    </row>
    <row r="528" spans="1:3" ht="11.25">
      <c r="A528" s="1" t="str">
        <f>"78258"</f>
        <v>78258</v>
      </c>
      <c r="B528" s="1" t="s">
        <v>326</v>
      </c>
      <c r="C528" s="2">
        <v>150.75</v>
      </c>
    </row>
    <row r="529" spans="1:3" ht="11.25">
      <c r="A529" s="1" t="str">
        <f>"78261"</f>
        <v>78261</v>
      </c>
      <c r="B529" s="1" t="s">
        <v>1032</v>
      </c>
      <c r="C529" s="2">
        <v>214.56</v>
      </c>
    </row>
    <row r="530" spans="1:3" ht="11.25">
      <c r="A530" s="1" t="str">
        <f>"78262"</f>
        <v>78262</v>
      </c>
      <c r="B530" s="1" t="s">
        <v>811</v>
      </c>
      <c r="C530" s="2">
        <v>222.26</v>
      </c>
    </row>
    <row r="531" spans="1:3" ht="11.25">
      <c r="A531" s="1" t="str">
        <f>"78264"</f>
        <v>78264</v>
      </c>
      <c r="B531" s="1" t="s">
        <v>299</v>
      </c>
      <c r="C531" s="2">
        <v>215.61</v>
      </c>
    </row>
    <row r="532" spans="1:3" ht="11.25">
      <c r="A532" s="1" t="str">
        <f>"78267"</f>
        <v>78267</v>
      </c>
      <c r="B532" s="1" t="s">
        <v>1703</v>
      </c>
      <c r="C532" s="2">
        <v>18.86</v>
      </c>
    </row>
    <row r="533" spans="1:3" ht="11.25">
      <c r="A533" s="1" t="str">
        <f>"78268"</f>
        <v>78268</v>
      </c>
      <c r="B533" s="1" t="s">
        <v>1612</v>
      </c>
      <c r="C533" s="2">
        <v>104.31</v>
      </c>
    </row>
    <row r="534" spans="1:3" ht="11.25">
      <c r="A534" s="1" t="str">
        <f>"78270"</f>
        <v>78270</v>
      </c>
      <c r="B534" s="1" t="s">
        <v>208</v>
      </c>
      <c r="C534" s="2">
        <v>80.81</v>
      </c>
    </row>
    <row r="535" spans="1:3" ht="11.25">
      <c r="A535" s="1" t="str">
        <f>"78271"</f>
        <v>78271</v>
      </c>
      <c r="B535" s="1" t="s">
        <v>1734</v>
      </c>
      <c r="C535" s="2">
        <v>86.15</v>
      </c>
    </row>
    <row r="536" spans="1:3" ht="11.25">
      <c r="A536" s="1" t="str">
        <f>"78272"</f>
        <v>78272</v>
      </c>
      <c r="B536" s="1" t="s">
        <v>722</v>
      </c>
      <c r="C536" s="2">
        <v>121.48</v>
      </c>
    </row>
    <row r="537" spans="1:3" ht="11.25">
      <c r="A537" s="1" t="str">
        <f>"78278"</f>
        <v>78278</v>
      </c>
      <c r="B537" s="1" t="s">
        <v>1737</v>
      </c>
      <c r="C537" s="2">
        <v>254.68</v>
      </c>
    </row>
    <row r="538" spans="1:3" ht="11.25">
      <c r="A538" s="1" t="str">
        <f>"78282"</f>
        <v>78282</v>
      </c>
      <c r="B538" s="1" t="s">
        <v>1306</v>
      </c>
      <c r="C538" s="2">
        <v>58.87</v>
      </c>
    </row>
    <row r="539" spans="1:3" ht="11.25">
      <c r="A539" s="1" t="str">
        <f>"78290"</f>
        <v>78290</v>
      </c>
      <c r="B539" s="1" t="s">
        <v>27</v>
      </c>
      <c r="C539" s="2">
        <v>159</v>
      </c>
    </row>
    <row r="540" spans="1:3" ht="11.25">
      <c r="A540" s="1" t="str">
        <f>"78291"</f>
        <v>78291</v>
      </c>
      <c r="B540" s="1" t="s">
        <v>742</v>
      </c>
      <c r="C540" s="2">
        <v>160.05</v>
      </c>
    </row>
    <row r="541" spans="1:3" ht="11.25">
      <c r="A541" s="1" t="str">
        <f>"78299"</f>
        <v>78299</v>
      </c>
      <c r="B541" s="1" t="s">
        <v>1707</v>
      </c>
      <c r="C541" s="2">
        <v>125.87</v>
      </c>
    </row>
    <row r="542" spans="1:3" ht="11.25">
      <c r="A542" s="1" t="str">
        <f>"78300"</f>
        <v>78300</v>
      </c>
      <c r="B542" s="1" t="s">
        <v>900</v>
      </c>
      <c r="C542" s="2">
        <v>130.24</v>
      </c>
    </row>
    <row r="543" spans="1:3" ht="11.25">
      <c r="A543" s="1" t="str">
        <f>"78305"</f>
        <v>78305</v>
      </c>
      <c r="B543" s="1" t="s">
        <v>1193</v>
      </c>
      <c r="C543" s="2">
        <v>191.42</v>
      </c>
    </row>
    <row r="544" spans="1:3" ht="11.25">
      <c r="A544" s="1" t="str">
        <f>"78306"</f>
        <v>78306</v>
      </c>
      <c r="B544" s="1" t="s">
        <v>584</v>
      </c>
      <c r="C544" s="2">
        <v>223.31</v>
      </c>
    </row>
    <row r="545" spans="1:3" ht="11.25">
      <c r="A545" s="1" t="str">
        <f>"78315"</f>
        <v>78315</v>
      </c>
      <c r="B545" s="1" t="s">
        <v>1048</v>
      </c>
      <c r="C545" s="2">
        <v>249.62</v>
      </c>
    </row>
    <row r="546" spans="1:3" ht="11.25">
      <c r="A546" s="1" t="str">
        <f>"78320"</f>
        <v>78320</v>
      </c>
      <c r="B546" s="1" t="s">
        <v>1085</v>
      </c>
      <c r="C546" s="2">
        <v>308.95</v>
      </c>
    </row>
    <row r="547" spans="1:3" ht="11.25">
      <c r="A547" s="1" t="str">
        <f>"78350"</f>
        <v>78350</v>
      </c>
      <c r="B547" s="1" t="s">
        <v>836</v>
      </c>
      <c r="C547" s="2">
        <v>42.92</v>
      </c>
    </row>
    <row r="548" spans="1:3" ht="11.25">
      <c r="A548" s="1" t="str">
        <f>"78399"</f>
        <v>78399</v>
      </c>
      <c r="B548" s="1" t="s">
        <v>260</v>
      </c>
      <c r="C548" s="2">
        <v>150.94</v>
      </c>
    </row>
    <row r="549" spans="1:3" ht="11.25">
      <c r="A549" s="1" t="str">
        <f>"78414"</f>
        <v>78414</v>
      </c>
      <c r="B549" s="1" t="s">
        <v>425</v>
      </c>
      <c r="C549" s="2">
        <v>69.91</v>
      </c>
    </row>
    <row r="550" spans="1:3" ht="11.25">
      <c r="A550" s="1" t="str">
        <f>"78428"</f>
        <v>78428</v>
      </c>
      <c r="B550" s="1" t="s">
        <v>3</v>
      </c>
      <c r="C550" s="2">
        <v>118.04</v>
      </c>
    </row>
    <row r="551" spans="1:3" ht="11.25">
      <c r="A551" s="1" t="str">
        <f>"78445"</f>
        <v>78445</v>
      </c>
      <c r="B551" s="1" t="s">
        <v>334</v>
      </c>
      <c r="C551" s="2">
        <v>97.04</v>
      </c>
    </row>
    <row r="552" spans="1:3" ht="11.25">
      <c r="A552" s="1" t="str">
        <f>"78456"</f>
        <v>78456</v>
      </c>
      <c r="B552" s="1" t="s">
        <v>1684</v>
      </c>
      <c r="C552" s="2">
        <v>234.86</v>
      </c>
    </row>
    <row r="553" spans="1:3" ht="11.25">
      <c r="A553" s="1" t="str">
        <f>"78457"</f>
        <v>78457</v>
      </c>
      <c r="B553" s="1" t="s">
        <v>223</v>
      </c>
      <c r="C553" s="2">
        <v>139.03</v>
      </c>
    </row>
    <row r="554" spans="1:3" ht="11.25">
      <c r="A554" s="1" t="str">
        <f>"78458"</f>
        <v>78458</v>
      </c>
      <c r="B554" s="1" t="s">
        <v>1158</v>
      </c>
      <c r="C554" s="2">
        <v>210.04</v>
      </c>
    </row>
    <row r="555" spans="1:3" ht="11.25">
      <c r="A555" s="1" t="str">
        <f>"78460"</f>
        <v>78460</v>
      </c>
      <c r="B555" s="1" t="s">
        <v>1447</v>
      </c>
      <c r="C555" s="2">
        <v>123.6</v>
      </c>
    </row>
    <row r="556" spans="1:3" ht="11.25">
      <c r="A556" s="1" t="str">
        <f>"78461"</f>
        <v>78461</v>
      </c>
      <c r="B556" s="1" t="s">
        <v>1157</v>
      </c>
      <c r="C556" s="2">
        <v>246.97</v>
      </c>
    </row>
    <row r="557" spans="1:3" ht="11.25">
      <c r="A557" s="1" t="str">
        <f>"78464"</f>
        <v>78464</v>
      </c>
      <c r="B557" s="1" t="s">
        <v>238</v>
      </c>
      <c r="C557" s="2">
        <v>369.82</v>
      </c>
    </row>
    <row r="558" spans="1:3" ht="11.25">
      <c r="A558" s="1" t="str">
        <f>"78465"</f>
        <v>78465</v>
      </c>
      <c r="B558" s="1" t="s">
        <v>162</v>
      </c>
      <c r="C558" s="2">
        <v>616.29</v>
      </c>
    </row>
    <row r="559" spans="1:3" ht="11.25">
      <c r="A559" s="1" t="str">
        <f>"78466"</f>
        <v>78466</v>
      </c>
      <c r="B559" s="1" t="s">
        <v>409</v>
      </c>
      <c r="C559" s="2">
        <v>137.43</v>
      </c>
    </row>
    <row r="560" spans="1:3" ht="11.25">
      <c r="A560" s="1" t="str">
        <f>"78468"</f>
        <v>78468</v>
      </c>
      <c r="B560" s="1" t="s">
        <v>277</v>
      </c>
      <c r="C560" s="2">
        <v>191.42</v>
      </c>
    </row>
    <row r="561" spans="1:3" ht="11.25">
      <c r="A561" s="1" t="str">
        <f>"78469"</f>
        <v>78469</v>
      </c>
      <c r="B561" s="1" t="s">
        <v>411</v>
      </c>
      <c r="C561" s="2">
        <v>273.31</v>
      </c>
    </row>
    <row r="562" spans="1:3" ht="11.25">
      <c r="A562" s="1" t="str">
        <f>"78472"</f>
        <v>78472</v>
      </c>
      <c r="B562" s="1" t="s">
        <v>66</v>
      </c>
      <c r="C562" s="2">
        <v>288.18</v>
      </c>
    </row>
    <row r="563" spans="1:3" ht="11.25">
      <c r="A563" s="1" t="str">
        <f>"78473"</f>
        <v>78473</v>
      </c>
      <c r="B563" s="1" t="s">
        <v>760</v>
      </c>
      <c r="C563" s="2">
        <v>431.51</v>
      </c>
    </row>
    <row r="564" spans="1:3" ht="11.25">
      <c r="A564" s="1" t="str">
        <f>"78478"</f>
        <v>78478</v>
      </c>
      <c r="B564" s="1" t="s">
        <v>11</v>
      </c>
      <c r="C564" s="2">
        <v>81.33</v>
      </c>
    </row>
    <row r="565" spans="1:3" ht="11.25">
      <c r="A565" s="1" t="str">
        <f>"78480"</f>
        <v>78480</v>
      </c>
      <c r="B565" s="1" t="s">
        <v>1649</v>
      </c>
      <c r="C565" s="2">
        <v>81.33</v>
      </c>
    </row>
    <row r="566" spans="1:3" ht="11.25">
      <c r="A566" s="1" t="str">
        <f>"78481"</f>
        <v>78481</v>
      </c>
      <c r="B566" s="1" t="s">
        <v>1256</v>
      </c>
      <c r="C566" s="2">
        <v>273.31</v>
      </c>
    </row>
    <row r="567" spans="1:3" ht="11.25">
      <c r="A567" s="1" t="str">
        <f>"78483"</f>
        <v>78483</v>
      </c>
      <c r="B567" s="1" t="s">
        <v>1676</v>
      </c>
      <c r="C567" s="2">
        <v>411.31</v>
      </c>
    </row>
    <row r="568" spans="1:3" ht="11.25">
      <c r="A568" s="1" t="str">
        <f>"78494"</f>
        <v>78494</v>
      </c>
      <c r="B568" s="1" t="s">
        <v>947</v>
      </c>
      <c r="C568" s="2">
        <v>407.15</v>
      </c>
    </row>
    <row r="569" spans="1:3" ht="11.25">
      <c r="A569" s="1" t="str">
        <f>"78496"</f>
        <v>78496</v>
      </c>
      <c r="B569" s="1" t="s">
        <v>622</v>
      </c>
      <c r="C569" s="2">
        <v>133.2</v>
      </c>
    </row>
    <row r="570" spans="1:3" ht="11.25">
      <c r="A570" s="1" t="str">
        <f>"78499"</f>
        <v>78499</v>
      </c>
      <c r="B570" s="1" t="s">
        <v>1162</v>
      </c>
      <c r="C570" s="2">
        <v>173.16</v>
      </c>
    </row>
    <row r="571" spans="1:3" ht="11.25">
      <c r="A571" s="1" t="str">
        <f>"78580"</f>
        <v>78580</v>
      </c>
      <c r="B571" s="1" t="s">
        <v>673</v>
      </c>
      <c r="C571" s="2">
        <v>179.45</v>
      </c>
    </row>
    <row r="572" spans="1:3" ht="11.25">
      <c r="A572" s="1" t="str">
        <f>"78584"</f>
        <v>78584</v>
      </c>
      <c r="B572" s="1" t="s">
        <v>1201</v>
      </c>
      <c r="C572" s="2">
        <v>167.24</v>
      </c>
    </row>
    <row r="573" spans="1:3" ht="11.25">
      <c r="A573" s="1" t="str">
        <f>"78585"</f>
        <v>78585</v>
      </c>
      <c r="B573" s="1" t="s">
        <v>95</v>
      </c>
      <c r="C573" s="2">
        <v>294.57</v>
      </c>
    </row>
    <row r="574" spans="1:3" ht="11.25">
      <c r="A574" s="1" t="str">
        <f>"78586"</f>
        <v>78586</v>
      </c>
      <c r="B574" s="1" t="s">
        <v>972</v>
      </c>
      <c r="C574" s="2">
        <v>135.57</v>
      </c>
    </row>
    <row r="575" spans="1:3" ht="11.25">
      <c r="A575" s="1" t="str">
        <f>"78587"</f>
        <v>78587</v>
      </c>
      <c r="B575" s="1" t="s">
        <v>419</v>
      </c>
      <c r="C575" s="2">
        <v>146.49</v>
      </c>
    </row>
    <row r="576" spans="1:3" ht="11.25">
      <c r="A576" s="1" t="str">
        <f>"78588"</f>
        <v>78588</v>
      </c>
      <c r="B576" s="1" t="s">
        <v>571</v>
      </c>
      <c r="C576" s="2">
        <v>278.45</v>
      </c>
    </row>
    <row r="577" spans="1:3" ht="11.25">
      <c r="A577" s="1" t="str">
        <f>"78591"</f>
        <v>78591</v>
      </c>
      <c r="B577" s="1" t="s">
        <v>121</v>
      </c>
      <c r="C577" s="2">
        <v>149.15</v>
      </c>
    </row>
    <row r="578" spans="1:3" ht="11.25">
      <c r="A578" s="1" t="str">
        <f>"78593"</f>
        <v>78593</v>
      </c>
      <c r="B578" s="1" t="s">
        <v>656</v>
      </c>
      <c r="C578" s="2">
        <v>180.52</v>
      </c>
    </row>
    <row r="579" spans="1:3" ht="11.25">
      <c r="A579" s="1" t="str">
        <f>"78594"</f>
        <v>78594</v>
      </c>
      <c r="B579" s="1" t="s">
        <v>1670</v>
      </c>
      <c r="C579" s="2">
        <v>260.56</v>
      </c>
    </row>
    <row r="580" spans="1:3" ht="11.25">
      <c r="A580" s="1" t="str">
        <f>"78596"</f>
        <v>78596</v>
      </c>
      <c r="B580" s="1" t="s">
        <v>980</v>
      </c>
      <c r="C580" s="2">
        <v>335.03</v>
      </c>
    </row>
    <row r="581" spans="1:3" ht="11.25">
      <c r="A581" s="1" t="str">
        <f>"78599"</f>
        <v>78599</v>
      </c>
      <c r="B581" s="1" t="s">
        <v>1730</v>
      </c>
      <c r="C581" s="2">
        <v>191.74</v>
      </c>
    </row>
    <row r="582" spans="1:3" ht="11.25">
      <c r="A582" s="1" t="str">
        <f>"78600"</f>
        <v>78600</v>
      </c>
      <c r="B582" s="1" t="s">
        <v>1161</v>
      </c>
      <c r="C582" s="2">
        <v>150.75</v>
      </c>
    </row>
    <row r="583" spans="1:3" ht="11.25">
      <c r="A583" s="1" t="str">
        <f>"78601"</f>
        <v>78601</v>
      </c>
      <c r="B583" s="1" t="s">
        <v>1356</v>
      </c>
      <c r="C583" s="2">
        <v>177.62</v>
      </c>
    </row>
    <row r="584" spans="1:3" ht="11.25">
      <c r="A584" s="1" t="str">
        <f>"78605"</f>
        <v>78605</v>
      </c>
      <c r="B584" s="1" t="s">
        <v>15</v>
      </c>
      <c r="C584" s="2">
        <v>177.62</v>
      </c>
    </row>
    <row r="585" spans="1:3" ht="11.25">
      <c r="A585" s="1" t="str">
        <f>"78606"</f>
        <v>78606</v>
      </c>
      <c r="B585" s="1" t="s">
        <v>1083</v>
      </c>
      <c r="C585" s="2">
        <v>202.34</v>
      </c>
    </row>
    <row r="586" spans="1:3" ht="11.25">
      <c r="A586" s="1" t="str">
        <f>"78607"</f>
        <v>78607</v>
      </c>
      <c r="B586" s="1" t="s">
        <v>35</v>
      </c>
      <c r="C586" s="2">
        <v>342.71</v>
      </c>
    </row>
    <row r="587" spans="1:3" ht="11.25">
      <c r="A587" s="1" t="str">
        <f>"78608"</f>
        <v>78608</v>
      </c>
      <c r="B587" s="1" t="s">
        <v>1040</v>
      </c>
      <c r="C587" s="2">
        <v>1601.54</v>
      </c>
    </row>
    <row r="588" spans="1:3" ht="11.25">
      <c r="A588" s="1" t="str">
        <f>"78609"</f>
        <v>78609</v>
      </c>
      <c r="B588" s="1" t="s">
        <v>1726</v>
      </c>
      <c r="C588" s="2">
        <v>1601.54</v>
      </c>
    </row>
    <row r="589" spans="1:3" ht="11.25">
      <c r="A589" s="1" t="str">
        <f>"78610"</f>
        <v>78610</v>
      </c>
      <c r="B589" s="1" t="s">
        <v>1744</v>
      </c>
      <c r="C589" s="2">
        <v>82.41</v>
      </c>
    </row>
    <row r="590" spans="1:3" ht="11.25">
      <c r="A590" s="1" t="str">
        <f>"78630"</f>
        <v>78630</v>
      </c>
      <c r="B590" s="1" t="s">
        <v>1399</v>
      </c>
      <c r="C590" s="2">
        <v>263.46</v>
      </c>
    </row>
    <row r="591" spans="1:3" ht="11.25">
      <c r="A591" s="1" t="str">
        <f>"78635"</f>
        <v>78635</v>
      </c>
      <c r="B591" s="1" t="s">
        <v>184</v>
      </c>
      <c r="C591" s="2">
        <v>132.92</v>
      </c>
    </row>
    <row r="592" spans="1:3" ht="11.25">
      <c r="A592" s="1" t="str">
        <f>"78645"</f>
        <v>78645</v>
      </c>
      <c r="B592" s="1" t="s">
        <v>1555</v>
      </c>
      <c r="C592" s="2">
        <v>179.45</v>
      </c>
    </row>
    <row r="593" spans="1:3" ht="11.25">
      <c r="A593" s="1" t="str">
        <f>"78647"</f>
        <v>78647</v>
      </c>
      <c r="B593" s="1" t="s">
        <v>1003</v>
      </c>
      <c r="C593" s="2">
        <v>308.95</v>
      </c>
    </row>
    <row r="594" spans="1:3" ht="11.25">
      <c r="A594" s="1" t="str">
        <f>"78650"</f>
        <v>78650</v>
      </c>
      <c r="B594" s="1" t="s">
        <v>29</v>
      </c>
      <c r="C594" s="2">
        <v>242.48</v>
      </c>
    </row>
    <row r="595" spans="1:3" ht="11.25">
      <c r="A595" s="1" t="str">
        <f>"78660"</f>
        <v>78660</v>
      </c>
      <c r="B595" s="1" t="s">
        <v>1409</v>
      </c>
      <c r="C595" s="2">
        <v>110.86</v>
      </c>
    </row>
    <row r="596" spans="1:3" ht="11.25">
      <c r="A596" s="1" t="str">
        <f>"78699"</f>
        <v>78699</v>
      </c>
      <c r="B596" s="1" t="s">
        <v>1536</v>
      </c>
      <c r="C596" s="2">
        <v>183.59</v>
      </c>
    </row>
    <row r="597" spans="1:3" ht="11.25">
      <c r="A597" s="1" t="str">
        <f>"78700"</f>
        <v>78700</v>
      </c>
      <c r="B597" s="1" t="s">
        <v>1746</v>
      </c>
      <c r="C597" s="2">
        <v>159</v>
      </c>
    </row>
    <row r="598" spans="1:3" ht="11.25">
      <c r="A598" s="1" t="str">
        <f>"78701"</f>
        <v>78701</v>
      </c>
      <c r="B598" s="1" t="s">
        <v>1130</v>
      </c>
      <c r="C598" s="2">
        <v>185.85</v>
      </c>
    </row>
    <row r="599" spans="1:3" ht="11.25">
      <c r="A599" s="1" t="str">
        <f>"78707"</f>
        <v>78707</v>
      </c>
      <c r="B599" s="1" t="s">
        <v>341</v>
      </c>
      <c r="C599" s="2">
        <v>233.7</v>
      </c>
    </row>
    <row r="600" spans="1:3" ht="11.25">
      <c r="A600" s="1" t="str">
        <f>"78708"</f>
        <v>78708</v>
      </c>
      <c r="B600" s="1" t="s">
        <v>664</v>
      </c>
      <c r="C600" s="2">
        <v>351.7</v>
      </c>
    </row>
    <row r="601" spans="1:3" ht="11.25">
      <c r="A601" s="1" t="str">
        <f>"78709"</f>
        <v>78709</v>
      </c>
      <c r="B601" s="1" t="s">
        <v>300</v>
      </c>
      <c r="C601" s="2">
        <v>356.38</v>
      </c>
    </row>
    <row r="602" spans="1:3" ht="11.25">
      <c r="A602" s="1" t="str">
        <f>"78710"</f>
        <v>78710</v>
      </c>
      <c r="B602" s="1" t="s">
        <v>190</v>
      </c>
      <c r="C602" s="2">
        <v>308.95</v>
      </c>
    </row>
    <row r="603" spans="1:3" ht="11.25">
      <c r="A603" s="1" t="str">
        <f>"78725"</f>
        <v>78725</v>
      </c>
      <c r="B603" s="1" t="s">
        <v>189</v>
      </c>
      <c r="C603" s="2">
        <v>93.31</v>
      </c>
    </row>
    <row r="604" spans="1:3" ht="11.25">
      <c r="A604" s="1" t="str">
        <f>"78730"</f>
        <v>78730</v>
      </c>
      <c r="B604" s="1" t="s">
        <v>1530</v>
      </c>
      <c r="C604" s="2">
        <v>76.3</v>
      </c>
    </row>
    <row r="605" spans="1:3" ht="11.25">
      <c r="A605" s="1" t="str">
        <f>"78740"</f>
        <v>78740</v>
      </c>
      <c r="B605" s="1" t="s">
        <v>1583</v>
      </c>
      <c r="C605" s="2">
        <v>110.86</v>
      </c>
    </row>
    <row r="606" spans="1:3" ht="11.25">
      <c r="A606" s="1" t="str">
        <f>"78761"</f>
        <v>78761</v>
      </c>
      <c r="B606" s="1" t="s">
        <v>1478</v>
      </c>
      <c r="C606" s="2">
        <v>167.24</v>
      </c>
    </row>
    <row r="607" spans="1:3" ht="11.25">
      <c r="A607" s="1" t="str">
        <f>"78799"</f>
        <v>78799</v>
      </c>
      <c r="B607" s="1" t="s">
        <v>1210</v>
      </c>
      <c r="C607" s="2">
        <v>180.5</v>
      </c>
    </row>
    <row r="608" spans="1:3" ht="11.25">
      <c r="A608" s="1" t="str">
        <f>"78800"</f>
        <v>78800</v>
      </c>
      <c r="B608" s="1" t="s">
        <v>1575</v>
      </c>
      <c r="C608" s="2">
        <v>177.62</v>
      </c>
    </row>
    <row r="609" spans="1:3" ht="11.25">
      <c r="A609" s="1" t="str">
        <f>"78801"</f>
        <v>78801</v>
      </c>
      <c r="B609" s="1" t="s">
        <v>925</v>
      </c>
      <c r="C609" s="2">
        <v>221.21</v>
      </c>
    </row>
    <row r="610" spans="1:3" ht="11.25">
      <c r="A610" s="1" t="str">
        <f>"78802"</f>
        <v>78802</v>
      </c>
      <c r="B610" s="1" t="s">
        <v>660</v>
      </c>
      <c r="C610" s="2">
        <v>289.24</v>
      </c>
    </row>
    <row r="611" spans="1:3" ht="11.25">
      <c r="A611" s="1" t="str">
        <f>"78803"</f>
        <v>78803</v>
      </c>
      <c r="B611" s="1" t="s">
        <v>1485</v>
      </c>
      <c r="C611" s="2">
        <v>342.71</v>
      </c>
    </row>
    <row r="612" spans="1:3" ht="11.25">
      <c r="A612" s="1" t="str">
        <f>"78804"</f>
        <v>78804</v>
      </c>
      <c r="B612" s="1" t="s">
        <v>740</v>
      </c>
      <c r="C612" s="2">
        <v>102.28</v>
      </c>
    </row>
    <row r="613" spans="1:3" ht="11.25">
      <c r="A613" s="1" t="str">
        <f>"78805"</f>
        <v>78805</v>
      </c>
      <c r="B613" s="1" t="s">
        <v>1281</v>
      </c>
      <c r="C613" s="2">
        <v>177.62</v>
      </c>
    </row>
    <row r="614" spans="1:3" ht="11.25">
      <c r="A614" s="1" t="str">
        <f>"78806"</f>
        <v>78806</v>
      </c>
      <c r="B614" s="1" t="s">
        <v>69</v>
      </c>
      <c r="C614" s="2">
        <v>336.31</v>
      </c>
    </row>
    <row r="615" spans="1:3" ht="11.25">
      <c r="A615" s="1" t="str">
        <f>"78807"</f>
        <v>78807</v>
      </c>
      <c r="B615" s="1" t="s">
        <v>1405</v>
      </c>
      <c r="C615" s="2">
        <v>342.71</v>
      </c>
    </row>
    <row r="616" spans="1:3" ht="11.25">
      <c r="A616" s="1" t="str">
        <f>"78808"</f>
        <v>78808</v>
      </c>
      <c r="B616" s="1" t="s">
        <v>1281</v>
      </c>
      <c r="C616" s="2">
        <v>177.62</v>
      </c>
    </row>
    <row r="617" spans="1:3" ht="11.25">
      <c r="A617" s="1" t="str">
        <f>"78811"</f>
        <v>78811</v>
      </c>
      <c r="B617" s="1" t="s">
        <v>1487</v>
      </c>
      <c r="C617" s="2">
        <v>1601.54</v>
      </c>
    </row>
    <row r="618" spans="1:3" ht="11.25">
      <c r="A618" s="1" t="str">
        <f>"78812"</f>
        <v>78812</v>
      </c>
      <c r="B618" s="1" t="s">
        <v>1163</v>
      </c>
      <c r="C618" s="2">
        <v>1601.54</v>
      </c>
    </row>
    <row r="619" spans="1:3" ht="11.25">
      <c r="A619" s="1" t="str">
        <f>"78813"</f>
        <v>78813</v>
      </c>
      <c r="B619" s="1" t="s">
        <v>1169</v>
      </c>
      <c r="C619" s="2">
        <v>1601.54</v>
      </c>
    </row>
    <row r="620" spans="1:3" ht="11.25">
      <c r="A620" s="1" t="str">
        <f>"78814"</f>
        <v>78814</v>
      </c>
      <c r="B620" s="1" t="s">
        <v>846</v>
      </c>
      <c r="C620" s="2">
        <v>1778.6</v>
      </c>
    </row>
    <row r="621" spans="1:3" ht="11.25">
      <c r="A621" s="1" t="str">
        <f>"78815"</f>
        <v>78815</v>
      </c>
      <c r="B621" s="1" t="s">
        <v>158</v>
      </c>
      <c r="C621" s="2">
        <v>1778.6</v>
      </c>
    </row>
    <row r="622" spans="1:3" ht="11.25">
      <c r="A622" s="1" t="str">
        <f>"78816"</f>
        <v>78816</v>
      </c>
      <c r="B622" s="1" t="s">
        <v>75</v>
      </c>
      <c r="C622" s="2">
        <v>1778.6</v>
      </c>
    </row>
    <row r="623" spans="1:3" ht="11.25">
      <c r="A623" s="1" t="str">
        <f>"78999"</f>
        <v>78999</v>
      </c>
      <c r="B623" s="1" t="s">
        <v>172</v>
      </c>
      <c r="C623" s="2">
        <v>130.95</v>
      </c>
    </row>
    <row r="624" spans="1:3" ht="11.25">
      <c r="A624" s="1" t="str">
        <f>"79005"</f>
        <v>79005</v>
      </c>
      <c r="B624" s="1" t="s">
        <v>377</v>
      </c>
      <c r="C624" s="2">
        <v>171.49</v>
      </c>
    </row>
    <row r="625" spans="1:3" ht="11.25">
      <c r="A625" s="1" t="str">
        <f>"79101"</f>
        <v>79101</v>
      </c>
      <c r="B625" s="1" t="s">
        <v>698</v>
      </c>
      <c r="C625" s="2">
        <v>329.48</v>
      </c>
    </row>
    <row r="626" spans="1:3" ht="11.25">
      <c r="A626" s="1" t="str">
        <f>"79445"</f>
        <v>79445</v>
      </c>
      <c r="B626" s="1" t="s">
        <v>1105</v>
      </c>
      <c r="C626" s="2">
        <v>368.9</v>
      </c>
    </row>
    <row r="627" spans="1:3" ht="11.25">
      <c r="A627" s="1" t="str">
        <f>"80047"</f>
        <v>80047</v>
      </c>
      <c r="B627" s="1" t="s">
        <v>1379</v>
      </c>
      <c r="C627" s="2">
        <v>20.34</v>
      </c>
    </row>
    <row r="628" spans="1:3" ht="11.25">
      <c r="A628" s="1" t="str">
        <f>"80048"</f>
        <v>80048</v>
      </c>
      <c r="B628" s="1" t="s">
        <v>1126</v>
      </c>
      <c r="C628" s="2">
        <v>20.34</v>
      </c>
    </row>
    <row r="629" spans="1:3" ht="11.25">
      <c r="A629" s="1" t="str">
        <f>"80051"</f>
        <v>80051</v>
      </c>
      <c r="B629" s="1" t="s">
        <v>91</v>
      </c>
      <c r="C629" s="2">
        <v>16.84</v>
      </c>
    </row>
    <row r="630" spans="1:3" ht="11.25">
      <c r="A630" s="1" t="str">
        <f>"80053"</f>
        <v>80053</v>
      </c>
      <c r="B630" s="1" t="s">
        <v>959</v>
      </c>
      <c r="C630" s="2">
        <v>22.97</v>
      </c>
    </row>
    <row r="631" spans="1:3" ht="11.25">
      <c r="A631" s="1" t="str">
        <f>"80055"</f>
        <v>80055</v>
      </c>
      <c r="B631" s="1" t="s">
        <v>321</v>
      </c>
      <c r="C631" s="2">
        <v>30.02</v>
      </c>
    </row>
    <row r="632" spans="1:3" ht="11.25">
      <c r="A632" s="1" t="str">
        <f>"80061"</f>
        <v>80061</v>
      </c>
      <c r="B632" s="1" t="s">
        <v>181</v>
      </c>
      <c r="C632" s="2">
        <v>40.33</v>
      </c>
    </row>
    <row r="633" spans="1:3" ht="11.25">
      <c r="A633" s="1" t="str">
        <f>"80069"</f>
        <v>80069</v>
      </c>
      <c r="B633" s="1" t="s">
        <v>332</v>
      </c>
      <c r="C633" s="2">
        <v>20.87</v>
      </c>
    </row>
    <row r="634" spans="1:3" ht="11.25">
      <c r="A634" s="1" t="str">
        <f>"80074"</f>
        <v>80074</v>
      </c>
      <c r="B634" s="1" t="s">
        <v>1140</v>
      </c>
      <c r="C634" s="2">
        <v>106.42</v>
      </c>
    </row>
    <row r="635" spans="1:3" ht="11.25">
      <c r="A635" s="1" t="str">
        <f>"80076"</f>
        <v>80076</v>
      </c>
      <c r="B635" s="1" t="s">
        <v>697</v>
      </c>
      <c r="C635" s="2">
        <v>19.61</v>
      </c>
    </row>
    <row r="636" spans="1:3" ht="11.25">
      <c r="A636" s="1" t="str">
        <f>"80100"</f>
        <v>80100</v>
      </c>
      <c r="B636" s="1" t="s">
        <v>1180</v>
      </c>
      <c r="C636" s="2">
        <v>33.38</v>
      </c>
    </row>
    <row r="637" spans="1:3" ht="11.25">
      <c r="A637" s="1" t="str">
        <f>"80101"</f>
        <v>80101</v>
      </c>
      <c r="B637" s="1" t="s">
        <v>913</v>
      </c>
      <c r="C637" s="2">
        <v>33.83</v>
      </c>
    </row>
    <row r="638" spans="1:3" ht="11.25">
      <c r="A638" s="1" t="str">
        <f>"80102"</f>
        <v>80102</v>
      </c>
      <c r="B638" s="1" t="s">
        <v>296</v>
      </c>
      <c r="C638" s="2">
        <v>32.58</v>
      </c>
    </row>
    <row r="639" spans="1:3" ht="11.25">
      <c r="A639" s="1" t="str">
        <f>"80150"</f>
        <v>80150</v>
      </c>
      <c r="B639" s="1" t="s">
        <v>18</v>
      </c>
      <c r="C639" s="2">
        <v>35.33</v>
      </c>
    </row>
    <row r="640" spans="1:3" ht="11.25">
      <c r="A640" s="1" t="str">
        <f>"80152"</f>
        <v>80152</v>
      </c>
      <c r="B640" s="1" t="s">
        <v>252</v>
      </c>
      <c r="C640" s="2">
        <v>44.03</v>
      </c>
    </row>
    <row r="641" spans="1:3" ht="11.25">
      <c r="A641" s="1" t="str">
        <f>"80154"</f>
        <v>80154</v>
      </c>
      <c r="B641" s="1" t="s">
        <v>983</v>
      </c>
      <c r="C641" s="2">
        <v>45.5</v>
      </c>
    </row>
    <row r="642" spans="1:3" ht="11.25">
      <c r="A642" s="1" t="str">
        <f>"80156"</f>
        <v>80156</v>
      </c>
      <c r="B642" s="1" t="s">
        <v>974</v>
      </c>
      <c r="C642" s="2">
        <v>35.82</v>
      </c>
    </row>
    <row r="643" spans="1:3" ht="11.25">
      <c r="A643" s="1" t="str">
        <f>"80157"</f>
        <v>80157</v>
      </c>
      <c r="B643" s="1" t="s">
        <v>682</v>
      </c>
      <c r="C643" s="2">
        <v>23.89</v>
      </c>
    </row>
    <row r="644" spans="1:3" ht="11.25">
      <c r="A644" s="1" t="str">
        <f>"80158"</f>
        <v>80158</v>
      </c>
      <c r="B644" s="1" t="s">
        <v>1120</v>
      </c>
      <c r="C644" s="2">
        <v>44.43</v>
      </c>
    </row>
    <row r="645" spans="1:3" ht="11.25">
      <c r="A645" s="1" t="str">
        <f>"80160"</f>
        <v>80160</v>
      </c>
      <c r="B645" s="1" t="s">
        <v>107</v>
      </c>
      <c r="C645" s="2">
        <v>42.35</v>
      </c>
    </row>
    <row r="646" spans="1:3" ht="11.25">
      <c r="A646" s="1" t="str">
        <f>"80162"</f>
        <v>80162</v>
      </c>
      <c r="B646" s="1" t="s">
        <v>538</v>
      </c>
      <c r="C646" s="2">
        <v>32.65</v>
      </c>
    </row>
    <row r="647" spans="1:3" ht="11.25">
      <c r="A647" s="1" t="str">
        <f>"80164"</f>
        <v>80164</v>
      </c>
      <c r="B647" s="1" t="s">
        <v>549</v>
      </c>
      <c r="C647" s="2">
        <v>26.48</v>
      </c>
    </row>
    <row r="648" spans="1:3" ht="11.25">
      <c r="A648" s="1" t="str">
        <f>"80166"</f>
        <v>80166</v>
      </c>
      <c r="B648" s="1" t="s">
        <v>453</v>
      </c>
      <c r="C648" s="2">
        <v>38.15</v>
      </c>
    </row>
    <row r="649" spans="1:3" ht="11.25">
      <c r="A649" s="1" t="str">
        <f>"80168"</f>
        <v>80168</v>
      </c>
      <c r="B649" s="1" t="s">
        <v>1418</v>
      </c>
      <c r="C649" s="2">
        <v>24.57</v>
      </c>
    </row>
    <row r="650" spans="1:3" ht="11.25">
      <c r="A650" s="1" t="str">
        <f>"80170"</f>
        <v>80170</v>
      </c>
      <c r="B650" s="1" t="s">
        <v>132</v>
      </c>
      <c r="C650" s="2">
        <v>32.82</v>
      </c>
    </row>
    <row r="651" spans="1:3" ht="11.25">
      <c r="A651" s="1" t="str">
        <f>"80172"</f>
        <v>80172</v>
      </c>
      <c r="B651" s="1" t="s">
        <v>484</v>
      </c>
      <c r="C651" s="2">
        <v>40.08</v>
      </c>
    </row>
    <row r="652" spans="1:3" ht="11.25">
      <c r="A652" s="1" t="str">
        <f>"80173"</f>
        <v>80173</v>
      </c>
      <c r="B652" s="1" t="s">
        <v>1070</v>
      </c>
      <c r="C652" s="2">
        <v>34.98</v>
      </c>
    </row>
    <row r="653" spans="1:3" ht="11.25">
      <c r="A653" s="1" t="str">
        <f>"80174"</f>
        <v>80174</v>
      </c>
      <c r="B653" s="1" t="s">
        <v>1224</v>
      </c>
      <c r="C653" s="2">
        <v>42.35</v>
      </c>
    </row>
    <row r="654" spans="1:3" ht="11.25">
      <c r="A654" s="1" t="str">
        <f>"80176"</f>
        <v>80176</v>
      </c>
      <c r="B654" s="1" t="s">
        <v>732</v>
      </c>
      <c r="C654" s="2">
        <v>36.13</v>
      </c>
    </row>
    <row r="655" spans="1:3" ht="11.25">
      <c r="A655" s="1" t="str">
        <f>"80178"</f>
        <v>80178</v>
      </c>
      <c r="B655" s="1" t="s">
        <v>1150</v>
      </c>
      <c r="C655" s="2">
        <v>16.25</v>
      </c>
    </row>
    <row r="656" spans="1:3" ht="11.25">
      <c r="A656" s="1" t="str">
        <f>"80182"</f>
        <v>80182</v>
      </c>
      <c r="B656" s="1" t="s">
        <v>1544</v>
      </c>
      <c r="C656" s="2">
        <v>26.48</v>
      </c>
    </row>
    <row r="657" spans="1:3" ht="11.25">
      <c r="A657" s="1" t="str">
        <f>"80184"</f>
        <v>80184</v>
      </c>
      <c r="B657" s="1" t="s">
        <v>709</v>
      </c>
      <c r="C657" s="2">
        <v>28.12</v>
      </c>
    </row>
    <row r="658" spans="1:3" ht="11.25">
      <c r="A658" s="1" t="str">
        <f>"80185"</f>
        <v>80185</v>
      </c>
      <c r="B658" s="1" t="s">
        <v>1568</v>
      </c>
      <c r="C658" s="2">
        <v>32.61</v>
      </c>
    </row>
    <row r="659" spans="1:3" ht="11.25">
      <c r="A659" s="1" t="str">
        <f>"80186"</f>
        <v>80186</v>
      </c>
      <c r="B659" s="1" t="s">
        <v>241</v>
      </c>
      <c r="C659" s="2">
        <v>38.86</v>
      </c>
    </row>
    <row r="660" spans="1:3" ht="11.25">
      <c r="A660" s="1" t="str">
        <f>"80188"</f>
        <v>80188</v>
      </c>
      <c r="B660" s="1" t="s">
        <v>281</v>
      </c>
      <c r="C660" s="2">
        <v>40.83</v>
      </c>
    </row>
    <row r="661" spans="1:3" ht="11.25">
      <c r="A661" s="1" t="str">
        <f>"80190"</f>
        <v>80190</v>
      </c>
      <c r="B661" s="1" t="s">
        <v>644</v>
      </c>
      <c r="C661" s="2">
        <v>41.09</v>
      </c>
    </row>
    <row r="662" spans="1:3" ht="11.25">
      <c r="A662" s="1" t="str">
        <f>"80192"</f>
        <v>80192</v>
      </c>
      <c r="B662" s="1" t="s">
        <v>604</v>
      </c>
      <c r="C662" s="2">
        <v>41.09</v>
      </c>
    </row>
    <row r="663" spans="1:3" ht="11.25">
      <c r="A663" s="1" t="str">
        <f>"80194"</f>
        <v>80194</v>
      </c>
      <c r="B663" s="1" t="s">
        <v>883</v>
      </c>
      <c r="C663" s="2">
        <v>35.92</v>
      </c>
    </row>
    <row r="664" spans="1:3" ht="11.25">
      <c r="A664" s="1" t="str">
        <f>"80195"</f>
        <v>80195</v>
      </c>
      <c r="B664" s="1" t="s">
        <v>309</v>
      </c>
      <c r="C664" s="2">
        <v>36.03</v>
      </c>
    </row>
    <row r="665" spans="1:3" ht="11.25">
      <c r="A665" s="1" t="str">
        <f>"80196"</f>
        <v>80196</v>
      </c>
      <c r="B665" s="1" t="s">
        <v>1363</v>
      </c>
      <c r="C665" s="2">
        <v>17.45</v>
      </c>
    </row>
    <row r="666" spans="1:3" ht="11.25">
      <c r="A666" s="1" t="str">
        <f>"80197"</f>
        <v>80197</v>
      </c>
      <c r="B666" s="1" t="s">
        <v>594</v>
      </c>
      <c r="C666" s="2">
        <v>34.09</v>
      </c>
    </row>
    <row r="667" spans="1:3" ht="11.25">
      <c r="A667" s="1" t="str">
        <f>"80198"</f>
        <v>80198</v>
      </c>
      <c r="B667" s="1" t="s">
        <v>648</v>
      </c>
      <c r="C667" s="2">
        <v>34.81</v>
      </c>
    </row>
    <row r="668" spans="1:3" ht="11.25">
      <c r="A668" s="1" t="str">
        <f>"80200"</f>
        <v>80200</v>
      </c>
      <c r="B668" s="1" t="s">
        <v>793</v>
      </c>
      <c r="C668" s="2">
        <v>34.09</v>
      </c>
    </row>
    <row r="669" spans="1:3" ht="11.25">
      <c r="A669" s="1" t="str">
        <f>"80201"</f>
        <v>80201</v>
      </c>
      <c r="B669" s="1" t="s">
        <v>166</v>
      </c>
      <c r="C669" s="2">
        <v>28.66</v>
      </c>
    </row>
    <row r="670" spans="1:3" ht="11.25">
      <c r="A670" s="1" t="str">
        <f>"80202"</f>
        <v>80202</v>
      </c>
      <c r="B670" s="1" t="s">
        <v>460</v>
      </c>
      <c r="C670" s="2">
        <v>26.48</v>
      </c>
    </row>
    <row r="671" spans="1:3" ht="11.25">
      <c r="A671" s="1" t="str">
        <f>"80299"</f>
        <v>80299</v>
      </c>
      <c r="B671" s="1" t="s">
        <v>1095</v>
      </c>
      <c r="C671" s="2">
        <v>28.05</v>
      </c>
    </row>
    <row r="672" spans="1:3" ht="11.25">
      <c r="A672" s="1" t="str">
        <f>"80400"</f>
        <v>80400</v>
      </c>
      <c r="B672" s="1" t="s">
        <v>306</v>
      </c>
      <c r="C672" s="2">
        <v>80.27</v>
      </c>
    </row>
    <row r="673" spans="1:3" ht="11.25">
      <c r="A673" s="1" t="str">
        <f>"80402"</f>
        <v>80402</v>
      </c>
      <c r="B673" s="1" t="s">
        <v>451</v>
      </c>
      <c r="C673" s="2">
        <v>213.92</v>
      </c>
    </row>
    <row r="674" spans="1:3" ht="11.25">
      <c r="A674" s="1" t="str">
        <f>"80406"</f>
        <v>80406</v>
      </c>
      <c r="B674" s="1" t="s">
        <v>1426</v>
      </c>
      <c r="C674" s="2">
        <v>187.98</v>
      </c>
    </row>
    <row r="675" spans="1:3" ht="11.25">
      <c r="A675" s="1" t="str">
        <f>"80408"</f>
        <v>80408</v>
      </c>
      <c r="B675" s="1" t="s">
        <v>935</v>
      </c>
      <c r="C675" s="2">
        <v>288.36</v>
      </c>
    </row>
    <row r="676" spans="1:3" ht="11.25">
      <c r="A676" s="1" t="str">
        <f>"80410"</f>
        <v>80410</v>
      </c>
      <c r="B676" s="1" t="s">
        <v>194</v>
      </c>
      <c r="C676" s="2">
        <v>263.54</v>
      </c>
    </row>
    <row r="677" spans="1:3" ht="11.25">
      <c r="A677" s="1" t="str">
        <f>"80412"</f>
        <v>80412</v>
      </c>
      <c r="B677" s="1" t="s">
        <v>1094</v>
      </c>
      <c r="C677" s="2">
        <v>714.59</v>
      </c>
    </row>
    <row r="678" spans="1:3" ht="11.25">
      <c r="A678" s="1" t="str">
        <f>"80414"</f>
        <v>80414</v>
      </c>
      <c r="B678" s="1" t="s">
        <v>1178</v>
      </c>
      <c r="C678" s="2">
        <v>127</v>
      </c>
    </row>
    <row r="679" spans="1:3" ht="11.25">
      <c r="A679" s="1" t="str">
        <f>"80415"</f>
        <v>80415</v>
      </c>
      <c r="B679" s="1" t="s">
        <v>1419</v>
      </c>
      <c r="C679" s="2">
        <v>137.5</v>
      </c>
    </row>
    <row r="680" spans="1:3" ht="11.25">
      <c r="A680" s="1" t="str">
        <f>"80416"</f>
        <v>80416</v>
      </c>
      <c r="B680" s="1" t="s">
        <v>837</v>
      </c>
      <c r="C680" s="2">
        <v>317.1</v>
      </c>
    </row>
    <row r="681" spans="1:3" ht="11.25">
      <c r="A681" s="1" t="str">
        <f>"80417"</f>
        <v>80417</v>
      </c>
      <c r="B681" s="1" t="s">
        <v>273</v>
      </c>
      <c r="C681" s="2">
        <v>105.69</v>
      </c>
    </row>
    <row r="682" spans="1:3" ht="11.25">
      <c r="A682" s="1" t="str">
        <f>"80418"</f>
        <v>80418</v>
      </c>
      <c r="B682" s="1" t="s">
        <v>681</v>
      </c>
      <c r="C682" s="2">
        <v>1353.67</v>
      </c>
    </row>
    <row r="683" spans="1:3" ht="11.25">
      <c r="A683" s="1" t="str">
        <f>"80420"</f>
        <v>80420</v>
      </c>
      <c r="B683" s="1" t="s">
        <v>380</v>
      </c>
      <c r="C683" s="2">
        <v>178.47</v>
      </c>
    </row>
    <row r="684" spans="1:3" ht="11.25">
      <c r="A684" s="1" t="str">
        <f>"80422"</f>
        <v>80422</v>
      </c>
      <c r="B684" s="1" t="s">
        <v>1294</v>
      </c>
      <c r="C684" s="2">
        <v>113.38</v>
      </c>
    </row>
    <row r="685" spans="1:3" ht="11.25">
      <c r="A685" s="1" t="str">
        <f>"80424"</f>
        <v>80424</v>
      </c>
      <c r="B685" s="1" t="s">
        <v>997</v>
      </c>
      <c r="C685" s="2">
        <v>124.27</v>
      </c>
    </row>
    <row r="686" spans="1:3" ht="11.25">
      <c r="A686" s="1" t="str">
        <f>"80426"</f>
        <v>80426</v>
      </c>
      <c r="B686" s="1" t="s">
        <v>228</v>
      </c>
      <c r="C686" s="2">
        <v>357.27</v>
      </c>
    </row>
    <row r="687" spans="1:3" ht="11.25">
      <c r="A687" s="1" t="str">
        <f>"80428"</f>
        <v>80428</v>
      </c>
      <c r="B687" s="1" t="s">
        <v>1479</v>
      </c>
      <c r="C687" s="2">
        <v>163.98</v>
      </c>
    </row>
    <row r="688" spans="1:3" ht="11.25">
      <c r="A688" s="1" t="str">
        <f>"80430"</f>
        <v>80430</v>
      </c>
      <c r="B688" s="1" t="s">
        <v>298</v>
      </c>
      <c r="C688" s="2">
        <v>192.97</v>
      </c>
    </row>
    <row r="689" spans="1:3" ht="11.25">
      <c r="A689" s="1" t="str">
        <f>"80432"</f>
        <v>80432</v>
      </c>
      <c r="B689" s="1" t="s">
        <v>688</v>
      </c>
      <c r="C689" s="2">
        <v>239.94</v>
      </c>
    </row>
    <row r="690" spans="1:3" ht="11.25">
      <c r="A690" s="1" t="str">
        <f>"80434"</f>
        <v>80434</v>
      </c>
      <c r="B690" s="1" t="s">
        <v>1459</v>
      </c>
      <c r="C690" s="2">
        <v>249.04</v>
      </c>
    </row>
    <row r="691" spans="1:3" ht="11.25">
      <c r="A691" s="1" t="str">
        <f>"80435"</f>
        <v>80435</v>
      </c>
      <c r="B691" s="1" t="s">
        <v>807</v>
      </c>
      <c r="C691" s="2">
        <v>253.29</v>
      </c>
    </row>
    <row r="692" spans="1:3" ht="11.25">
      <c r="A692" s="1" t="str">
        <f>"80436"</f>
        <v>80436</v>
      </c>
      <c r="B692" s="1" t="s">
        <v>1683</v>
      </c>
      <c r="C692" s="2">
        <v>224.28</v>
      </c>
    </row>
    <row r="693" spans="1:3" ht="11.25">
      <c r="A693" s="1" t="str">
        <f>"80438"</f>
        <v>80438</v>
      </c>
      <c r="B693" s="1" t="s">
        <v>50</v>
      </c>
      <c r="C693" s="2">
        <v>124.02</v>
      </c>
    </row>
    <row r="694" spans="1:3" ht="11.25">
      <c r="A694" s="1" t="str">
        <f>"80439"</f>
        <v>80439</v>
      </c>
      <c r="B694" s="1" t="s">
        <v>1449</v>
      </c>
      <c r="C694" s="2">
        <v>240.44</v>
      </c>
    </row>
    <row r="695" spans="1:3" ht="11.25">
      <c r="A695" s="1" t="str">
        <f>"80440"</f>
        <v>80440</v>
      </c>
      <c r="B695" s="1" t="s">
        <v>355</v>
      </c>
      <c r="C695" s="2">
        <v>247.1</v>
      </c>
    </row>
    <row r="696" spans="1:3" ht="11.25">
      <c r="A696" s="1" t="str">
        <f>"81000"</f>
        <v>81000</v>
      </c>
      <c r="B696" s="1" t="s">
        <v>257</v>
      </c>
      <c r="C696" s="2">
        <v>3.06</v>
      </c>
    </row>
    <row r="697" spans="1:3" ht="11.25">
      <c r="A697" s="1" t="str">
        <f>"81001"</f>
        <v>81001</v>
      </c>
      <c r="B697" s="1" t="s">
        <v>786</v>
      </c>
      <c r="C697" s="2">
        <v>7.37</v>
      </c>
    </row>
    <row r="698" spans="1:3" ht="11.25">
      <c r="A698" s="1" t="str">
        <f>"81002"</f>
        <v>81002</v>
      </c>
      <c r="B698" s="1" t="s">
        <v>576</v>
      </c>
      <c r="C698" s="2">
        <v>6.3</v>
      </c>
    </row>
    <row r="699" spans="1:3" ht="11.25">
      <c r="A699" s="1" t="str">
        <f>"81003"</f>
        <v>81003</v>
      </c>
      <c r="B699" s="1" t="s">
        <v>745</v>
      </c>
      <c r="C699" s="2">
        <v>5.52</v>
      </c>
    </row>
    <row r="700" spans="1:3" ht="11.25">
      <c r="A700" s="1" t="str">
        <f>"81005"</f>
        <v>81005</v>
      </c>
      <c r="B700" s="1" t="s">
        <v>1325</v>
      </c>
      <c r="C700" s="2">
        <v>5.31</v>
      </c>
    </row>
    <row r="701" spans="1:3" ht="11.25">
      <c r="A701" s="1" t="str">
        <f>"81007"</f>
        <v>81007</v>
      </c>
      <c r="B701" s="1" t="s">
        <v>1063</v>
      </c>
      <c r="C701" s="2">
        <v>6.86</v>
      </c>
    </row>
    <row r="702" spans="1:3" ht="11.25">
      <c r="A702" s="1" t="str">
        <f>"81015"</f>
        <v>81015</v>
      </c>
      <c r="B702" s="1" t="s">
        <v>1635</v>
      </c>
      <c r="C702" s="2">
        <v>6.55</v>
      </c>
    </row>
    <row r="703" spans="1:3" ht="11.25">
      <c r="A703" s="1" t="str">
        <f>"81020"</f>
        <v>81020</v>
      </c>
      <c r="B703" s="1" t="s">
        <v>1252</v>
      </c>
      <c r="C703" s="2">
        <v>4.01</v>
      </c>
    </row>
    <row r="704" spans="1:3" ht="11.25">
      <c r="A704" s="1" t="str">
        <f>"81025"</f>
        <v>81025</v>
      </c>
      <c r="B704" s="1" t="s">
        <v>12</v>
      </c>
      <c r="C704" s="2">
        <v>15.56</v>
      </c>
    </row>
    <row r="705" spans="1:3" ht="11.25">
      <c r="A705" s="1" t="str">
        <f>"81050"</f>
        <v>81050</v>
      </c>
      <c r="B705" s="1" t="s">
        <v>1504</v>
      </c>
      <c r="C705" s="2">
        <v>7.37</v>
      </c>
    </row>
    <row r="706" spans="1:3" ht="11.25">
      <c r="A706" s="1" t="str">
        <f>"81099"</f>
        <v>81099</v>
      </c>
      <c r="B706" s="1" t="s">
        <v>922</v>
      </c>
      <c r="C706" s="2">
        <v>7.64</v>
      </c>
    </row>
    <row r="707" spans="1:3" ht="11.25">
      <c r="A707" s="1" t="str">
        <f>"82000"</f>
        <v>82000</v>
      </c>
      <c r="B707" s="1" t="s">
        <v>1309</v>
      </c>
      <c r="C707" s="2">
        <v>6.55</v>
      </c>
    </row>
    <row r="708" spans="1:3" ht="11.25">
      <c r="A708" s="1" t="str">
        <f>"82003"</f>
        <v>82003</v>
      </c>
      <c r="B708" s="1" t="s">
        <v>1557</v>
      </c>
      <c r="C708" s="2">
        <v>49.78</v>
      </c>
    </row>
    <row r="709" spans="1:3" ht="11.25">
      <c r="A709" s="1" t="str">
        <f>"82009"</f>
        <v>82009</v>
      </c>
      <c r="B709" s="1" t="s">
        <v>766</v>
      </c>
      <c r="C709" s="2">
        <v>10.06</v>
      </c>
    </row>
    <row r="710" spans="1:3" ht="11.25">
      <c r="A710" s="1" t="str">
        <f>"82010"</f>
        <v>82010</v>
      </c>
      <c r="B710" s="1" t="s">
        <v>1710</v>
      </c>
      <c r="C710" s="2">
        <v>15.22</v>
      </c>
    </row>
    <row r="711" spans="1:3" ht="11.25">
      <c r="A711" s="1" t="str">
        <f>"82013"</f>
        <v>82013</v>
      </c>
      <c r="B711" s="1" t="s">
        <v>56</v>
      </c>
      <c r="C711" s="2">
        <v>27.32</v>
      </c>
    </row>
    <row r="712" spans="1:3" ht="11.25">
      <c r="A712" s="1" t="str">
        <f>"82016"</f>
        <v>82016</v>
      </c>
      <c r="B712" s="1" t="s">
        <v>960</v>
      </c>
      <c r="C712" s="2">
        <v>33.32</v>
      </c>
    </row>
    <row r="713" spans="1:3" ht="11.25">
      <c r="A713" s="1" t="str">
        <f>"82017"</f>
        <v>82017</v>
      </c>
      <c r="B713" s="1" t="s">
        <v>1477</v>
      </c>
      <c r="C713" s="2">
        <v>35.21</v>
      </c>
    </row>
    <row r="714" spans="1:3" ht="11.25">
      <c r="A714" s="1" t="str">
        <f>"82024"</f>
        <v>82024</v>
      </c>
      <c r="B714" s="1" t="s">
        <v>371</v>
      </c>
      <c r="C714" s="2">
        <v>78.96</v>
      </c>
    </row>
    <row r="715" spans="1:3" ht="11.25">
      <c r="A715" s="1" t="str">
        <f>"82030"</f>
        <v>82030</v>
      </c>
      <c r="B715" s="1" t="s">
        <v>733</v>
      </c>
      <c r="C715" s="2">
        <v>41.09</v>
      </c>
    </row>
    <row r="716" spans="1:3" ht="11.25">
      <c r="A716" s="1" t="str">
        <f>"82040"</f>
        <v>82040</v>
      </c>
      <c r="B716" s="1" t="s">
        <v>495</v>
      </c>
      <c r="C716" s="2">
        <v>11.86</v>
      </c>
    </row>
    <row r="717" spans="1:3" ht="11.25">
      <c r="A717" s="1" t="str">
        <f>"82042"</f>
        <v>82042</v>
      </c>
      <c r="B717" s="1" t="s">
        <v>1709</v>
      </c>
      <c r="C717" s="2">
        <v>12.73</v>
      </c>
    </row>
    <row r="718" spans="1:3" ht="11.25">
      <c r="A718" s="1" t="str">
        <f>"82043"</f>
        <v>82043</v>
      </c>
      <c r="B718" s="1" t="s">
        <v>792</v>
      </c>
      <c r="C718" s="2">
        <v>23.77</v>
      </c>
    </row>
    <row r="719" spans="1:3" ht="11.25">
      <c r="A719" s="1" t="str">
        <f>"82044"</f>
        <v>82044</v>
      </c>
      <c r="B719" s="1" t="s">
        <v>973</v>
      </c>
      <c r="C719" s="2">
        <v>23.77</v>
      </c>
    </row>
    <row r="720" spans="1:3" ht="11.25">
      <c r="A720" s="1" t="str">
        <f>"82045"</f>
        <v>82045</v>
      </c>
      <c r="B720" s="1" t="s">
        <v>359</v>
      </c>
      <c r="C720" s="2">
        <v>35.1</v>
      </c>
    </row>
    <row r="721" spans="1:3" ht="11.25">
      <c r="A721" s="1" t="str">
        <f>"82055"</f>
        <v>82055</v>
      </c>
      <c r="B721" s="1" t="s">
        <v>1423</v>
      </c>
      <c r="C721" s="2">
        <v>22.53</v>
      </c>
    </row>
    <row r="722" spans="1:3" ht="11.25">
      <c r="A722" s="1" t="str">
        <f>"82075"</f>
        <v>82075</v>
      </c>
      <c r="B722" s="1" t="s">
        <v>822</v>
      </c>
      <c r="C722" s="2">
        <v>29.65</v>
      </c>
    </row>
    <row r="723" spans="1:3" ht="11.25">
      <c r="A723" s="1" t="str">
        <f>"82085"</f>
        <v>82085</v>
      </c>
      <c r="B723" s="1" t="s">
        <v>1009</v>
      </c>
      <c r="C723" s="2">
        <v>21.26</v>
      </c>
    </row>
    <row r="724" spans="1:3" ht="11.25">
      <c r="A724" s="1" t="str">
        <f>"82088"</f>
        <v>82088</v>
      </c>
      <c r="B724" s="1" t="s">
        <v>865</v>
      </c>
      <c r="C724" s="2">
        <v>90.07</v>
      </c>
    </row>
    <row r="725" spans="1:3" ht="11.25">
      <c r="A725" s="1" t="str">
        <f>"82101"</f>
        <v>82101</v>
      </c>
      <c r="B725" s="1" t="s">
        <v>250</v>
      </c>
      <c r="C725" s="2">
        <v>73.86</v>
      </c>
    </row>
    <row r="726" spans="1:3" ht="11.25">
      <c r="A726" s="1" t="str">
        <f>"82103"</f>
        <v>82103</v>
      </c>
      <c r="B726" s="1" t="s">
        <v>696</v>
      </c>
      <c r="C726" s="2">
        <v>17.36</v>
      </c>
    </row>
    <row r="727" spans="1:3" ht="11.25">
      <c r="A727" s="1" t="str">
        <f>"82104"</f>
        <v>82104</v>
      </c>
      <c r="B727" s="1" t="s">
        <v>1674</v>
      </c>
      <c r="C727" s="2">
        <v>35.57</v>
      </c>
    </row>
    <row r="728" spans="1:3" ht="11.25">
      <c r="A728" s="1" t="str">
        <f>"82105"</f>
        <v>82105</v>
      </c>
      <c r="B728" s="1" t="s">
        <v>1520</v>
      </c>
      <c r="C728" s="2">
        <v>35.23</v>
      </c>
    </row>
    <row r="729" spans="1:3" ht="11.25">
      <c r="A729" s="1" t="str">
        <f>"82106"</f>
        <v>82106</v>
      </c>
      <c r="B729" s="1" t="s">
        <v>902</v>
      </c>
      <c r="C729" s="2">
        <v>17.91</v>
      </c>
    </row>
    <row r="730" spans="1:3" ht="11.25">
      <c r="A730" s="1" t="str">
        <f>"82107"</f>
        <v>82107</v>
      </c>
      <c r="B730" s="1" t="s">
        <v>680</v>
      </c>
      <c r="C730" s="2">
        <v>166.28</v>
      </c>
    </row>
    <row r="731" spans="1:3" ht="11.25">
      <c r="A731" s="1" t="str">
        <f>"82108"</f>
        <v>82108</v>
      </c>
      <c r="B731" s="1" t="s">
        <v>1537</v>
      </c>
      <c r="C731" s="2">
        <v>38.15</v>
      </c>
    </row>
    <row r="732" spans="1:3" ht="11.25">
      <c r="A732" s="1" t="str">
        <f>"82120"</f>
        <v>82120</v>
      </c>
      <c r="B732" s="1" t="s">
        <v>823</v>
      </c>
      <c r="C732" s="2">
        <v>5.8</v>
      </c>
    </row>
    <row r="733" spans="1:3" ht="11.25">
      <c r="A733" s="1" t="str">
        <f>"82127"</f>
        <v>82127</v>
      </c>
      <c r="B733" s="1" t="s">
        <v>209</v>
      </c>
      <c r="C733" s="2">
        <v>33.32</v>
      </c>
    </row>
    <row r="734" spans="1:3" ht="11.25">
      <c r="A734" s="1" t="str">
        <f>"82128"</f>
        <v>82128</v>
      </c>
      <c r="B734" s="1" t="s">
        <v>955</v>
      </c>
      <c r="C734" s="2">
        <v>34.11</v>
      </c>
    </row>
    <row r="735" spans="1:3" ht="11.25">
      <c r="A735" s="1" t="str">
        <f>"82131"</f>
        <v>82131</v>
      </c>
      <c r="B735" s="1" t="s">
        <v>1623</v>
      </c>
      <c r="C735" s="2">
        <v>78.98</v>
      </c>
    </row>
    <row r="736" spans="1:3" ht="11.25">
      <c r="A736" s="1" t="str">
        <f>"82135"</f>
        <v>82135</v>
      </c>
      <c r="B736" s="1" t="s">
        <v>1132</v>
      </c>
      <c r="C736" s="2">
        <v>40.48</v>
      </c>
    </row>
    <row r="737" spans="1:3" ht="11.25">
      <c r="A737" s="1" t="str">
        <f>"82136"</f>
        <v>82136</v>
      </c>
      <c r="B737" s="1" t="s">
        <v>843</v>
      </c>
      <c r="C737" s="2">
        <v>35.21</v>
      </c>
    </row>
    <row r="738" spans="1:3" ht="11.25">
      <c r="A738" s="1" t="str">
        <f>"82139"</f>
        <v>82139</v>
      </c>
      <c r="B738" s="1" t="s">
        <v>305</v>
      </c>
      <c r="C738" s="2">
        <v>35.21</v>
      </c>
    </row>
    <row r="739" spans="1:3" ht="11.25">
      <c r="A739" s="1" t="str">
        <f>"82140"</f>
        <v>82140</v>
      </c>
      <c r="B739" s="1" t="s">
        <v>106</v>
      </c>
      <c r="C739" s="2">
        <v>35.88</v>
      </c>
    </row>
    <row r="740" spans="1:3" ht="11.25">
      <c r="A740" s="1" t="str">
        <f>"82143"</f>
        <v>82143</v>
      </c>
      <c r="B740" s="1" t="s">
        <v>534</v>
      </c>
      <c r="C740" s="2">
        <v>16.92</v>
      </c>
    </row>
    <row r="741" spans="1:3" ht="11.25">
      <c r="A741" s="1" t="str">
        <f>"82145"</f>
        <v>82145</v>
      </c>
      <c r="B741" s="1" t="s">
        <v>1159</v>
      </c>
      <c r="C741" s="2">
        <v>38.25</v>
      </c>
    </row>
    <row r="742" spans="1:3" ht="11.25">
      <c r="A742" s="1" t="str">
        <f>"82150"</f>
        <v>82150</v>
      </c>
      <c r="B742" s="1" t="s">
        <v>196</v>
      </c>
      <c r="C742" s="2">
        <v>15.9</v>
      </c>
    </row>
    <row r="743" spans="1:3" ht="11.25">
      <c r="A743" s="1" t="str">
        <f>"82154"</f>
        <v>82154</v>
      </c>
      <c r="B743" s="1" t="s">
        <v>33</v>
      </c>
      <c r="C743" s="2">
        <v>70.92</v>
      </c>
    </row>
    <row r="744" spans="1:3" ht="11.25">
      <c r="A744" s="1" t="str">
        <f>"82157"</f>
        <v>82157</v>
      </c>
      <c r="B744" s="1" t="s">
        <v>1138</v>
      </c>
      <c r="C744" s="2">
        <v>72</v>
      </c>
    </row>
    <row r="745" spans="1:3" ht="11.25">
      <c r="A745" s="1" t="str">
        <f>"82160"</f>
        <v>82160</v>
      </c>
      <c r="B745" s="1" t="s">
        <v>229</v>
      </c>
      <c r="C745" s="2">
        <v>61.52</v>
      </c>
    </row>
    <row r="746" spans="1:3" ht="11.25">
      <c r="A746" s="1" t="str">
        <f>"82163"</f>
        <v>82163</v>
      </c>
      <c r="B746" s="1" t="s">
        <v>916</v>
      </c>
      <c r="C746" s="2">
        <v>50.51</v>
      </c>
    </row>
    <row r="747" spans="1:3" ht="11.25">
      <c r="A747" s="1" t="str">
        <f>"82164"</f>
        <v>82164</v>
      </c>
      <c r="B747" s="1" t="s">
        <v>957</v>
      </c>
      <c r="C747" s="2">
        <v>25.84</v>
      </c>
    </row>
    <row r="748" spans="1:3" ht="11.25">
      <c r="A748" s="1" t="str">
        <f>"82172"</f>
        <v>82172</v>
      </c>
      <c r="B748" s="1" t="s">
        <v>717</v>
      </c>
      <c r="C748" s="2">
        <v>24.55</v>
      </c>
    </row>
    <row r="749" spans="1:3" ht="11.25">
      <c r="A749" s="1" t="str">
        <f>"82175"</f>
        <v>82175</v>
      </c>
      <c r="B749" s="1" t="s">
        <v>157</v>
      </c>
      <c r="C749" s="2">
        <v>27.32</v>
      </c>
    </row>
    <row r="750" spans="1:3" ht="11.25">
      <c r="A750" s="1" t="str">
        <f>"82180"</f>
        <v>82180</v>
      </c>
      <c r="B750" s="1" t="s">
        <v>729</v>
      </c>
      <c r="C750" s="2">
        <v>11</v>
      </c>
    </row>
    <row r="751" spans="1:3" ht="11.25">
      <c r="A751" s="1" t="str">
        <f>"82190"</f>
        <v>82190</v>
      </c>
      <c r="B751" s="1" t="s">
        <v>1679</v>
      </c>
      <c r="C751" s="2">
        <v>30.49</v>
      </c>
    </row>
    <row r="752" spans="1:3" ht="11.25">
      <c r="A752" s="1" t="str">
        <f>"82205"</f>
        <v>82205</v>
      </c>
      <c r="B752" s="1" t="s">
        <v>1645</v>
      </c>
      <c r="C752" s="2">
        <v>28.12</v>
      </c>
    </row>
    <row r="753" spans="1:3" ht="11.25">
      <c r="A753" s="1" t="str">
        <f>"82232"</f>
        <v>82232</v>
      </c>
      <c r="B753" s="1" t="s">
        <v>203</v>
      </c>
      <c r="C753" s="2">
        <v>27.32</v>
      </c>
    </row>
    <row r="754" spans="1:3" ht="11.25">
      <c r="A754" s="1" t="str">
        <f>"82239"</f>
        <v>82239</v>
      </c>
      <c r="B754" s="1" t="s">
        <v>894</v>
      </c>
      <c r="C754" s="2">
        <v>42.56</v>
      </c>
    </row>
    <row r="755" spans="1:3" ht="11.25">
      <c r="A755" s="1" t="str">
        <f>"82240"</f>
        <v>82240</v>
      </c>
      <c r="B755" s="1" t="s">
        <v>1699</v>
      </c>
      <c r="C755" s="2">
        <v>65.38</v>
      </c>
    </row>
    <row r="756" spans="1:3" ht="11.25">
      <c r="A756" s="1" t="str">
        <f>"82247"</f>
        <v>82247</v>
      </c>
      <c r="B756" s="1" t="s">
        <v>848</v>
      </c>
      <c r="C756" s="2">
        <v>12.07</v>
      </c>
    </row>
    <row r="757" spans="1:3" ht="11.25">
      <c r="A757" s="1" t="str">
        <f>"82248"</f>
        <v>82248</v>
      </c>
      <c r="B757" s="1" t="s">
        <v>829</v>
      </c>
      <c r="C757" s="2">
        <v>12.07</v>
      </c>
    </row>
    <row r="758" spans="1:3" ht="11.25">
      <c r="A758" s="1" t="str">
        <f>"82252"</f>
        <v>82252</v>
      </c>
      <c r="B758" s="1" t="s">
        <v>1655</v>
      </c>
      <c r="C758" s="2">
        <v>11.19</v>
      </c>
    </row>
    <row r="759" spans="1:3" ht="11.25">
      <c r="A759" s="1" t="str">
        <f>"82270"</f>
        <v>82270</v>
      </c>
      <c r="B759" s="1" t="s">
        <v>254</v>
      </c>
      <c r="C759" s="2">
        <v>6.18</v>
      </c>
    </row>
    <row r="760" spans="1:3" ht="11.25">
      <c r="A760" s="1" t="str">
        <f>"82271"</f>
        <v>82271</v>
      </c>
      <c r="B760" s="1" t="s">
        <v>1745</v>
      </c>
      <c r="C760" s="2">
        <v>8.53</v>
      </c>
    </row>
    <row r="761" spans="1:3" ht="11.25">
      <c r="A761" s="1" t="str">
        <f>"82272"</f>
        <v>82272</v>
      </c>
      <c r="B761" s="1" t="s">
        <v>80</v>
      </c>
      <c r="C761" s="2">
        <v>8.53</v>
      </c>
    </row>
    <row r="762" spans="1:3" ht="11.25">
      <c r="A762" s="1" t="str">
        <f>"82286"</f>
        <v>82286</v>
      </c>
      <c r="B762" s="1" t="s">
        <v>1141</v>
      </c>
      <c r="C762" s="2">
        <v>16.94</v>
      </c>
    </row>
    <row r="763" spans="1:3" ht="11.25">
      <c r="A763" s="1" t="str">
        <f>"82300"</f>
        <v>82300</v>
      </c>
      <c r="B763" s="1" t="s">
        <v>726</v>
      </c>
      <c r="C763" s="2">
        <v>56.92</v>
      </c>
    </row>
    <row r="764" spans="1:3" ht="11.25">
      <c r="A764" s="1" t="str">
        <f>"82306"</f>
        <v>82306</v>
      </c>
      <c r="B764" s="1" t="s">
        <v>1743</v>
      </c>
      <c r="C764" s="2">
        <v>72.83</v>
      </c>
    </row>
    <row r="765" spans="1:3" ht="11.25">
      <c r="A765" s="1" t="str">
        <f>"82307"</f>
        <v>82307</v>
      </c>
      <c r="B765" s="1" t="s">
        <v>752</v>
      </c>
      <c r="C765" s="2">
        <v>79.26</v>
      </c>
    </row>
    <row r="766" spans="1:3" ht="11.25">
      <c r="A766" s="1" t="str">
        <f>"82308"</f>
        <v>82308</v>
      </c>
      <c r="B766" s="1" t="s">
        <v>1551</v>
      </c>
      <c r="C766" s="2">
        <v>65.9</v>
      </c>
    </row>
    <row r="767" spans="1:3" ht="11.25">
      <c r="A767" s="1" t="str">
        <f>"82310"</f>
        <v>82310</v>
      </c>
      <c r="B767" s="1" t="s">
        <v>1389</v>
      </c>
      <c r="C767" s="2">
        <v>12.66</v>
      </c>
    </row>
    <row r="768" spans="1:3" ht="11.25">
      <c r="A768" s="1" t="str">
        <f>"82330"</f>
        <v>82330</v>
      </c>
      <c r="B768" s="1" t="s">
        <v>1307</v>
      </c>
      <c r="C768" s="2">
        <v>33.62</v>
      </c>
    </row>
    <row r="769" spans="1:3" ht="11.25">
      <c r="A769" s="1" t="str">
        <f>"82331"</f>
        <v>82331</v>
      </c>
      <c r="B769" s="1" t="s">
        <v>1538</v>
      </c>
      <c r="C769" s="2">
        <v>12.73</v>
      </c>
    </row>
    <row r="770" spans="1:3" ht="11.25">
      <c r="A770" s="1" t="str">
        <f>"82340"</f>
        <v>82340</v>
      </c>
      <c r="B770" s="1" t="s">
        <v>340</v>
      </c>
      <c r="C770" s="2">
        <v>14.85</v>
      </c>
    </row>
    <row r="771" spans="1:3" ht="11.25">
      <c r="A771" s="1" t="str">
        <f>"82355"</f>
        <v>82355</v>
      </c>
      <c r="B771" s="1" t="s">
        <v>1422</v>
      </c>
      <c r="C771" s="2">
        <v>21.82</v>
      </c>
    </row>
    <row r="772" spans="1:3" ht="11.25">
      <c r="A772" s="1" t="str">
        <f>"82360"</f>
        <v>82360</v>
      </c>
      <c r="B772" s="1" t="s">
        <v>1076</v>
      </c>
      <c r="C772" s="2">
        <v>31.66</v>
      </c>
    </row>
    <row r="773" spans="1:3" ht="11.25">
      <c r="A773" s="1" t="str">
        <f>"82365"</f>
        <v>82365</v>
      </c>
      <c r="B773" s="1" t="s">
        <v>486</v>
      </c>
      <c r="C773" s="2">
        <v>31.74</v>
      </c>
    </row>
    <row r="774" spans="1:3" ht="11.25">
      <c r="A774" s="1" t="str">
        <f>"82370"</f>
        <v>82370</v>
      </c>
      <c r="B774" s="1" t="s">
        <v>545</v>
      </c>
      <c r="C774" s="2">
        <v>30.82</v>
      </c>
    </row>
    <row r="775" spans="1:3" ht="11.25">
      <c r="A775" s="1" t="str">
        <f>"82373"</f>
        <v>82373</v>
      </c>
      <c r="B775" s="1" t="s">
        <v>713</v>
      </c>
      <c r="C775" s="2">
        <v>17.3</v>
      </c>
    </row>
    <row r="776" spans="1:3" ht="11.25">
      <c r="A776" s="1" t="str">
        <f>"82374"</f>
        <v>82374</v>
      </c>
      <c r="B776" s="1" t="s">
        <v>1060</v>
      </c>
      <c r="C776" s="2">
        <v>10.6</v>
      </c>
    </row>
    <row r="777" spans="1:3" ht="11.25">
      <c r="A777" s="1" t="str">
        <f>"82375"</f>
        <v>82375</v>
      </c>
      <c r="B777" s="1" t="s">
        <v>1425</v>
      </c>
      <c r="C777" s="2">
        <v>13.56</v>
      </c>
    </row>
    <row r="778" spans="1:3" ht="11.25">
      <c r="A778" s="1" t="str">
        <f>"82376"</f>
        <v>82376</v>
      </c>
      <c r="B778" s="1" t="s">
        <v>1267</v>
      </c>
      <c r="C778" s="2">
        <v>13.56</v>
      </c>
    </row>
    <row r="779" spans="1:3" ht="11.25">
      <c r="A779" s="1" t="str">
        <f>"82378"</f>
        <v>82378</v>
      </c>
      <c r="B779" s="1" t="s">
        <v>344</v>
      </c>
      <c r="C779" s="2">
        <v>46.59</v>
      </c>
    </row>
    <row r="780" spans="1:3" ht="11.25">
      <c r="A780" s="1" t="str">
        <f>"82379"</f>
        <v>82379</v>
      </c>
      <c r="B780" s="1" t="s">
        <v>1618</v>
      </c>
      <c r="C780" s="2">
        <v>35.21</v>
      </c>
    </row>
    <row r="781" spans="1:3" ht="11.25">
      <c r="A781" s="1" t="str">
        <f>"82380"</f>
        <v>82380</v>
      </c>
      <c r="B781" s="1" t="s">
        <v>1559</v>
      </c>
      <c r="C781" s="2">
        <v>22.7</v>
      </c>
    </row>
    <row r="782" spans="1:3" ht="11.25">
      <c r="A782" s="1" t="str">
        <f>"82382"</f>
        <v>82382</v>
      </c>
      <c r="B782" s="1" t="s">
        <v>497</v>
      </c>
      <c r="C782" s="2">
        <v>35.78</v>
      </c>
    </row>
    <row r="783" spans="1:3" ht="11.25">
      <c r="A783" s="1" t="str">
        <f>"82383"</f>
        <v>82383</v>
      </c>
      <c r="B783" s="1" t="s">
        <v>1598</v>
      </c>
      <c r="C783" s="2">
        <v>61.64</v>
      </c>
    </row>
    <row r="784" spans="1:3" ht="11.25">
      <c r="A784" s="1" t="str">
        <f>"82384"</f>
        <v>82384</v>
      </c>
      <c r="B784" s="1" t="s">
        <v>820</v>
      </c>
      <c r="C784" s="2">
        <v>62.13</v>
      </c>
    </row>
    <row r="785" spans="1:3" ht="11.25">
      <c r="A785" s="1" t="str">
        <f>"82387"</f>
        <v>82387</v>
      </c>
      <c r="B785" s="1" t="s">
        <v>1621</v>
      </c>
      <c r="C785" s="2">
        <v>71.28</v>
      </c>
    </row>
    <row r="786" spans="1:3" ht="11.25">
      <c r="A786" s="1" t="str">
        <f>"82390"</f>
        <v>82390</v>
      </c>
      <c r="B786" s="1" t="s">
        <v>562</v>
      </c>
      <c r="C786" s="2">
        <v>26.43</v>
      </c>
    </row>
    <row r="787" spans="1:3" ht="11.25">
      <c r="A787" s="1" t="str">
        <f>"82397"</f>
        <v>82397</v>
      </c>
      <c r="B787" s="1" t="s">
        <v>1597</v>
      </c>
      <c r="C787" s="2">
        <v>34.77</v>
      </c>
    </row>
    <row r="788" spans="1:3" ht="11.25">
      <c r="A788" s="1" t="str">
        <f>"82415"</f>
        <v>82415</v>
      </c>
      <c r="B788" s="1" t="s">
        <v>1432</v>
      </c>
      <c r="C788" s="2">
        <v>27.32</v>
      </c>
    </row>
    <row r="789" spans="1:3" ht="11.25">
      <c r="A789" s="1" t="str">
        <f>"82435"</f>
        <v>82435</v>
      </c>
      <c r="B789" s="1" t="s">
        <v>89</v>
      </c>
      <c r="C789" s="2">
        <v>9.32</v>
      </c>
    </row>
    <row r="790" spans="1:3" ht="11.25">
      <c r="A790" s="1" t="str">
        <f>"82436"</f>
        <v>82436</v>
      </c>
      <c r="B790" s="1" t="s">
        <v>1519</v>
      </c>
      <c r="C790" s="2">
        <v>12.36</v>
      </c>
    </row>
    <row r="791" spans="1:3" ht="11.25">
      <c r="A791" s="1" t="str">
        <f>"82438"</f>
        <v>82438</v>
      </c>
      <c r="B791" s="1" t="s">
        <v>1344</v>
      </c>
      <c r="C791" s="2">
        <v>12.03</v>
      </c>
    </row>
    <row r="792" spans="1:3" ht="11.25">
      <c r="A792" s="1" t="str">
        <f>"82441"</f>
        <v>82441</v>
      </c>
      <c r="B792" s="1" t="s">
        <v>1231</v>
      </c>
      <c r="C792" s="2">
        <v>12.26</v>
      </c>
    </row>
    <row r="793" spans="1:3" ht="11.25">
      <c r="A793" s="1" t="str">
        <f>"82465"</f>
        <v>82465</v>
      </c>
      <c r="B793" s="1" t="s">
        <v>743</v>
      </c>
      <c r="C793" s="2">
        <v>10.69</v>
      </c>
    </row>
    <row r="794" spans="1:3" ht="11.25">
      <c r="A794" s="1" t="str">
        <f>"82480"</f>
        <v>82480</v>
      </c>
      <c r="B794" s="1" t="s">
        <v>387</v>
      </c>
      <c r="C794" s="2">
        <v>19.38</v>
      </c>
    </row>
    <row r="795" spans="1:3" ht="11.25">
      <c r="A795" s="1" t="str">
        <f>"82482"</f>
        <v>82482</v>
      </c>
      <c r="B795" s="1" t="s">
        <v>124</v>
      </c>
      <c r="C795" s="2">
        <v>18.89</v>
      </c>
    </row>
    <row r="796" spans="1:3" ht="11.25">
      <c r="A796" s="1" t="str">
        <f>"82485"</f>
        <v>82485</v>
      </c>
      <c r="B796" s="1" t="s">
        <v>1632</v>
      </c>
      <c r="C796" s="2">
        <v>50.81</v>
      </c>
    </row>
    <row r="797" spans="1:3" ht="11.25">
      <c r="A797" s="1" t="str">
        <f>"82486"</f>
        <v>82486</v>
      </c>
      <c r="B797" s="1" t="s">
        <v>767</v>
      </c>
      <c r="C797" s="2">
        <v>44.43</v>
      </c>
    </row>
    <row r="798" spans="1:3" ht="11.25">
      <c r="A798" s="1" t="str">
        <f>"82487"</f>
        <v>82487</v>
      </c>
      <c r="B798" s="1" t="s">
        <v>994</v>
      </c>
      <c r="C798" s="2">
        <v>39.28</v>
      </c>
    </row>
    <row r="799" spans="1:3" ht="11.25">
      <c r="A799" s="1" t="str">
        <f>"82488"</f>
        <v>82488</v>
      </c>
      <c r="B799" s="1" t="s">
        <v>77</v>
      </c>
      <c r="C799" s="2">
        <v>52.55</v>
      </c>
    </row>
    <row r="800" spans="1:3" ht="11.25">
      <c r="A800" s="1" t="str">
        <f>"82489"</f>
        <v>82489</v>
      </c>
      <c r="B800" s="1" t="s">
        <v>242</v>
      </c>
      <c r="C800" s="2">
        <v>45.5</v>
      </c>
    </row>
    <row r="801" spans="1:3" ht="11.25">
      <c r="A801" s="1" t="str">
        <f>"82491"</f>
        <v>82491</v>
      </c>
      <c r="B801" s="1" t="s">
        <v>1248</v>
      </c>
      <c r="C801" s="2">
        <v>44.43</v>
      </c>
    </row>
    <row r="802" spans="1:3" ht="11.25">
      <c r="A802" s="1" t="str">
        <f>"82492"</f>
        <v>82492</v>
      </c>
      <c r="B802" s="1" t="s">
        <v>1577</v>
      </c>
      <c r="C802" s="2">
        <v>43.39</v>
      </c>
    </row>
    <row r="803" spans="1:3" ht="11.25">
      <c r="A803" s="1" t="str">
        <f>"82495"</f>
        <v>82495</v>
      </c>
      <c r="B803" s="1" t="s">
        <v>899</v>
      </c>
      <c r="C803" s="2">
        <v>11</v>
      </c>
    </row>
    <row r="804" spans="1:3" ht="11.25">
      <c r="A804" s="1" t="str">
        <f>"82507"</f>
        <v>82507</v>
      </c>
      <c r="B804" s="1" t="s">
        <v>1690</v>
      </c>
      <c r="C804" s="2">
        <v>68.88</v>
      </c>
    </row>
    <row r="805" spans="1:3" ht="11.25">
      <c r="A805" s="1" t="str">
        <f>"82520"</f>
        <v>82520</v>
      </c>
      <c r="B805" s="1" t="s">
        <v>1402</v>
      </c>
      <c r="C805" s="2">
        <v>21.82</v>
      </c>
    </row>
    <row r="806" spans="1:3" ht="11.25">
      <c r="A806" s="1" t="str">
        <f>"82523"</f>
        <v>82523</v>
      </c>
      <c r="B806" s="1" t="s">
        <v>1304</v>
      </c>
      <c r="C806" s="2">
        <v>31.95</v>
      </c>
    </row>
    <row r="807" spans="1:3" ht="11.25">
      <c r="A807" s="1" t="str">
        <f>"82525"</f>
        <v>82525</v>
      </c>
      <c r="B807" s="1" t="s">
        <v>1404</v>
      </c>
      <c r="C807" s="2">
        <v>28.22</v>
      </c>
    </row>
    <row r="808" spans="1:3" ht="11.25">
      <c r="A808" s="1" t="str">
        <f>"82528"</f>
        <v>82528</v>
      </c>
      <c r="B808" s="1" t="s">
        <v>485</v>
      </c>
      <c r="C808" s="2">
        <v>35.33</v>
      </c>
    </row>
    <row r="809" spans="1:3" ht="11.25">
      <c r="A809" s="1" t="str">
        <f>"82530"</f>
        <v>82530</v>
      </c>
      <c r="B809" s="1" t="s">
        <v>1062</v>
      </c>
      <c r="C809" s="2">
        <v>41.72</v>
      </c>
    </row>
    <row r="810" spans="1:3" ht="11.25">
      <c r="A810" s="1" t="str">
        <f>"82533"</f>
        <v>82533</v>
      </c>
      <c r="B810" s="1" t="s">
        <v>1291</v>
      </c>
      <c r="C810" s="2">
        <v>17.09</v>
      </c>
    </row>
    <row r="811" spans="1:3" ht="11.25">
      <c r="A811" s="1" t="str">
        <f>"82540"</f>
        <v>82540</v>
      </c>
      <c r="B811" s="1" t="s">
        <v>84</v>
      </c>
      <c r="C811" s="2">
        <v>11.3</v>
      </c>
    </row>
    <row r="812" spans="1:3" ht="11.25">
      <c r="A812" s="1" t="str">
        <f>"82550"</f>
        <v>82550</v>
      </c>
      <c r="B812" s="1" t="s">
        <v>1498</v>
      </c>
      <c r="C812" s="2">
        <v>14.05</v>
      </c>
    </row>
    <row r="813" spans="1:3" ht="11.25">
      <c r="A813" s="1" t="str">
        <f>"82552"</f>
        <v>82552</v>
      </c>
      <c r="B813" s="1" t="s">
        <v>1566</v>
      </c>
      <c r="C813" s="2">
        <v>30.21</v>
      </c>
    </row>
    <row r="814" spans="1:3" ht="11.25">
      <c r="A814" s="1" t="str">
        <f>"82553"</f>
        <v>82553</v>
      </c>
      <c r="B814" s="1" t="s">
        <v>155</v>
      </c>
      <c r="C814" s="2">
        <v>40.15</v>
      </c>
    </row>
    <row r="815" spans="1:3" ht="11.25">
      <c r="A815" s="1" t="str">
        <f>"82554"</f>
        <v>82554</v>
      </c>
      <c r="B815" s="1" t="s">
        <v>1166</v>
      </c>
      <c r="C815" s="2">
        <v>28.38</v>
      </c>
    </row>
    <row r="816" spans="1:3" ht="11.25">
      <c r="A816" s="1" t="str">
        <f>"82565"</f>
        <v>82565</v>
      </c>
      <c r="B816" s="1" t="s">
        <v>227</v>
      </c>
      <c r="C816" s="2">
        <v>12.59</v>
      </c>
    </row>
    <row r="817" spans="1:3" ht="11.25">
      <c r="A817" s="1" t="str">
        <f>"82570"</f>
        <v>82570</v>
      </c>
      <c r="B817" s="1" t="s">
        <v>1198</v>
      </c>
      <c r="C817" s="2">
        <v>12.73</v>
      </c>
    </row>
    <row r="818" spans="1:3" ht="11.25">
      <c r="A818" s="1" t="str">
        <f>"82575"</f>
        <v>82575</v>
      </c>
      <c r="B818" s="1" t="s">
        <v>1381</v>
      </c>
      <c r="C818" s="2">
        <v>23.21</v>
      </c>
    </row>
    <row r="819" spans="1:3" ht="11.25">
      <c r="A819" s="1" t="str">
        <f>"82585"</f>
        <v>82585</v>
      </c>
      <c r="B819" s="1" t="s">
        <v>1005</v>
      </c>
      <c r="C819" s="2">
        <v>21.1</v>
      </c>
    </row>
    <row r="820" spans="1:3" ht="11.25">
      <c r="A820" s="1" t="str">
        <f>"82595"</f>
        <v>82595</v>
      </c>
      <c r="B820" s="1" t="s">
        <v>981</v>
      </c>
      <c r="C820" s="2">
        <v>11.21</v>
      </c>
    </row>
    <row r="821" spans="1:3" ht="11.25">
      <c r="A821" s="1" t="str">
        <f>"82600"</f>
        <v>82600</v>
      </c>
      <c r="B821" s="1" t="s">
        <v>1724</v>
      </c>
      <c r="C821" s="2">
        <v>47.74</v>
      </c>
    </row>
    <row r="822" spans="1:3" ht="11.25">
      <c r="A822" s="1" t="str">
        <f>"82607"</f>
        <v>82607</v>
      </c>
      <c r="B822" s="1" t="s">
        <v>1517</v>
      </c>
      <c r="C822" s="2">
        <v>37.07</v>
      </c>
    </row>
    <row r="823" spans="1:3" ht="11.25">
      <c r="A823" s="1" t="str">
        <f>"82608"</f>
        <v>82608</v>
      </c>
      <c r="B823" s="1" t="s">
        <v>60</v>
      </c>
      <c r="C823" s="2">
        <v>35.23</v>
      </c>
    </row>
    <row r="824" spans="1:3" ht="11.25">
      <c r="A824" s="1" t="str">
        <f>"82610"</f>
        <v>82610</v>
      </c>
      <c r="B824" s="1" t="s">
        <v>455</v>
      </c>
      <c r="C824" s="2">
        <v>23.21</v>
      </c>
    </row>
    <row r="825" spans="1:3" ht="11.25">
      <c r="A825" s="1" t="str">
        <f>"82615"</f>
        <v>82615</v>
      </c>
      <c r="B825" s="1" t="s">
        <v>439</v>
      </c>
      <c r="C825" s="2">
        <v>20.09</v>
      </c>
    </row>
    <row r="826" spans="1:3" ht="11.25">
      <c r="A826" s="1" t="str">
        <f>"82626"</f>
        <v>82626</v>
      </c>
      <c r="B826" s="1" t="s">
        <v>145</v>
      </c>
      <c r="C826" s="2">
        <v>62.19</v>
      </c>
    </row>
    <row r="827" spans="1:3" ht="11.25">
      <c r="A827" s="1" t="str">
        <f>"82627"</f>
        <v>82627</v>
      </c>
      <c r="B827" s="1" t="s">
        <v>762</v>
      </c>
      <c r="C827" s="2">
        <v>74.83</v>
      </c>
    </row>
    <row r="828" spans="1:3" ht="11.25">
      <c r="A828" s="1" t="str">
        <f>"82633"</f>
        <v>82633</v>
      </c>
      <c r="B828" s="1" t="s">
        <v>1567</v>
      </c>
      <c r="C828" s="2">
        <v>32.44</v>
      </c>
    </row>
    <row r="829" spans="1:3" ht="11.25">
      <c r="A829" s="1" t="str">
        <f>"82634"</f>
        <v>82634</v>
      </c>
      <c r="B829" s="1" t="s">
        <v>824</v>
      </c>
      <c r="C829" s="2">
        <v>72</v>
      </c>
    </row>
    <row r="830" spans="1:3" ht="11.25">
      <c r="A830" s="1" t="str">
        <f>"82638"</f>
        <v>82638</v>
      </c>
      <c r="B830" s="1" t="s">
        <v>872</v>
      </c>
      <c r="C830" s="2">
        <v>27.32</v>
      </c>
    </row>
    <row r="831" spans="1:3" ht="11.25">
      <c r="A831" s="1" t="str">
        <f>"82646"</f>
        <v>82646</v>
      </c>
      <c r="B831" s="1" t="s">
        <v>1274</v>
      </c>
      <c r="C831" s="2">
        <v>40.83</v>
      </c>
    </row>
    <row r="832" spans="1:3" ht="11.25">
      <c r="A832" s="1" t="str">
        <f>"82649"</f>
        <v>82649</v>
      </c>
      <c r="B832" s="1" t="s">
        <v>159</v>
      </c>
      <c r="C832" s="2">
        <v>61.41</v>
      </c>
    </row>
    <row r="833" spans="1:3" ht="11.25">
      <c r="A833" s="1" t="str">
        <f>"82651"</f>
        <v>82651</v>
      </c>
      <c r="B833" s="1" t="s">
        <v>32</v>
      </c>
      <c r="C833" s="2">
        <v>63.5</v>
      </c>
    </row>
    <row r="834" spans="1:3" ht="11.25">
      <c r="A834" s="1" t="str">
        <f>"82652"</f>
        <v>82652</v>
      </c>
      <c r="B834" s="1" t="s">
        <v>1420</v>
      </c>
      <c r="C834" s="2">
        <v>94.67</v>
      </c>
    </row>
    <row r="835" spans="1:3" ht="11.25">
      <c r="A835" s="1" t="str">
        <f>"82654"</f>
        <v>82654</v>
      </c>
      <c r="B835" s="1" t="s">
        <v>561</v>
      </c>
      <c r="C835" s="2">
        <v>35.42</v>
      </c>
    </row>
    <row r="836" spans="1:3" ht="11.25">
      <c r="A836" s="1" t="str">
        <f>"82656"</f>
        <v>82656</v>
      </c>
      <c r="B836" s="1" t="s">
        <v>368</v>
      </c>
      <c r="C836" s="2">
        <v>28.03</v>
      </c>
    </row>
    <row r="837" spans="1:3" ht="11.25">
      <c r="A837" s="1" t="str">
        <f>"82657"</f>
        <v>82657</v>
      </c>
      <c r="B837" s="1" t="s">
        <v>1714</v>
      </c>
      <c r="C837" s="2">
        <v>67.8</v>
      </c>
    </row>
    <row r="838" spans="1:3" ht="11.25">
      <c r="A838" s="1" t="str">
        <f>"82658"</f>
        <v>82658</v>
      </c>
      <c r="B838" s="1" t="s">
        <v>765</v>
      </c>
      <c r="C838" s="2">
        <v>28.86</v>
      </c>
    </row>
    <row r="839" spans="1:3" ht="11.25">
      <c r="A839" s="1" t="str">
        <f>"82664"</f>
        <v>82664</v>
      </c>
      <c r="B839" s="1" t="s">
        <v>1470</v>
      </c>
      <c r="C839" s="2">
        <v>25.61</v>
      </c>
    </row>
    <row r="840" spans="1:3" ht="11.25">
      <c r="A840" s="1" t="str">
        <f>"82666"</f>
        <v>82666</v>
      </c>
      <c r="B840" s="1" t="s">
        <v>1601</v>
      </c>
      <c r="C840" s="2">
        <v>52.86</v>
      </c>
    </row>
    <row r="841" spans="1:3" ht="11.25">
      <c r="A841" s="1" t="str">
        <f>"82668"</f>
        <v>82668</v>
      </c>
      <c r="B841" s="1" t="s">
        <v>436</v>
      </c>
      <c r="C841" s="2">
        <v>40.83</v>
      </c>
    </row>
    <row r="842" spans="1:3" ht="11.25">
      <c r="A842" s="1" t="str">
        <f>"82670"</f>
        <v>82670</v>
      </c>
      <c r="B842" s="1" t="s">
        <v>715</v>
      </c>
      <c r="C842" s="2">
        <v>68.76</v>
      </c>
    </row>
    <row r="843" spans="1:3" ht="11.25">
      <c r="A843" s="1" t="str">
        <f>"82671"</f>
        <v>82671</v>
      </c>
      <c r="B843" s="1" t="s">
        <v>1057</v>
      </c>
      <c r="C843" s="2">
        <v>58.24</v>
      </c>
    </row>
    <row r="844" spans="1:3" ht="11.25">
      <c r="A844" s="1" t="str">
        <f>"82672"</f>
        <v>82672</v>
      </c>
      <c r="B844" s="1" t="s">
        <v>1424</v>
      </c>
      <c r="C844" s="2">
        <v>53.37</v>
      </c>
    </row>
    <row r="845" spans="1:3" ht="11.25">
      <c r="A845" s="1" t="str">
        <f>"82677"</f>
        <v>82677</v>
      </c>
      <c r="B845" s="1" t="s">
        <v>1754</v>
      </c>
      <c r="C845" s="2">
        <v>59.74</v>
      </c>
    </row>
    <row r="846" spans="1:3" ht="11.25">
      <c r="A846" s="1" t="str">
        <f>"82679"</f>
        <v>82679</v>
      </c>
      <c r="B846" s="1" t="s">
        <v>905</v>
      </c>
      <c r="C846" s="2">
        <v>61.41</v>
      </c>
    </row>
    <row r="847" spans="1:3" ht="11.25">
      <c r="A847" s="1" t="str">
        <f>"82690"</f>
        <v>82690</v>
      </c>
      <c r="B847" s="1" t="s">
        <v>288</v>
      </c>
      <c r="C847" s="2">
        <v>40.83</v>
      </c>
    </row>
    <row r="848" spans="1:3" ht="11.25">
      <c r="A848" s="1" t="str">
        <f>"82693"</f>
        <v>82693</v>
      </c>
      <c r="B848" s="1" t="s">
        <v>642</v>
      </c>
      <c r="C848" s="2">
        <v>53.07</v>
      </c>
    </row>
    <row r="849" spans="1:3" ht="11.25">
      <c r="A849" s="1" t="str">
        <f>"82696"</f>
        <v>82696</v>
      </c>
      <c r="B849" s="1" t="s">
        <v>785</v>
      </c>
      <c r="C849" s="2">
        <v>62.94</v>
      </c>
    </row>
    <row r="850" spans="1:3" ht="11.25">
      <c r="A850" s="1" t="str">
        <f>"82705"</f>
        <v>82705</v>
      </c>
      <c r="B850" s="1" t="s">
        <v>1372</v>
      </c>
      <c r="C850" s="2">
        <v>12.54</v>
      </c>
    </row>
    <row r="851" spans="1:3" ht="11.25">
      <c r="A851" s="1" t="str">
        <f>"82710"</f>
        <v>82710</v>
      </c>
      <c r="B851" s="1" t="s">
        <v>797</v>
      </c>
      <c r="C851" s="2">
        <v>6.55</v>
      </c>
    </row>
    <row r="852" spans="1:3" ht="11.25">
      <c r="A852" s="1" t="str">
        <f>"82715"</f>
        <v>82715</v>
      </c>
      <c r="B852" s="1" t="s">
        <v>633</v>
      </c>
      <c r="C852" s="2">
        <v>42.35</v>
      </c>
    </row>
    <row r="853" spans="1:3" ht="11.25">
      <c r="A853" s="1" t="str">
        <f>"82725"</f>
        <v>82725</v>
      </c>
      <c r="B853" s="1" t="s">
        <v>1370</v>
      </c>
      <c r="C853" s="2">
        <v>5.31</v>
      </c>
    </row>
    <row r="854" spans="1:3" ht="11.25">
      <c r="A854" s="1" t="str">
        <f>"82726"</f>
        <v>82726</v>
      </c>
      <c r="B854" s="1" t="s">
        <v>929</v>
      </c>
      <c r="C854" s="2">
        <v>43.39</v>
      </c>
    </row>
    <row r="855" spans="1:3" ht="11.25">
      <c r="A855" s="1" t="str">
        <f>"82728"</f>
        <v>82728</v>
      </c>
      <c r="B855" s="1" t="s">
        <v>1747</v>
      </c>
      <c r="C855" s="2">
        <v>33.53</v>
      </c>
    </row>
    <row r="856" spans="1:3" ht="11.25">
      <c r="A856" s="1" t="str">
        <f>"82731"</f>
        <v>82731</v>
      </c>
      <c r="B856" s="1" t="s">
        <v>588</v>
      </c>
      <c r="C856" s="2">
        <v>156.5</v>
      </c>
    </row>
    <row r="857" spans="1:3" ht="11.25">
      <c r="A857" s="1" t="str">
        <f>"82735"</f>
        <v>82735</v>
      </c>
      <c r="B857" s="1" t="s">
        <v>1258</v>
      </c>
      <c r="C857" s="2">
        <v>46.19</v>
      </c>
    </row>
    <row r="858" spans="1:3" ht="11.25">
      <c r="A858" s="1" t="str">
        <f>"82742"</f>
        <v>82742</v>
      </c>
      <c r="B858" s="1" t="s">
        <v>1718</v>
      </c>
      <c r="C858" s="2">
        <v>48.69</v>
      </c>
    </row>
    <row r="859" spans="1:3" ht="11.25">
      <c r="A859" s="1" t="str">
        <f>"82746"</f>
        <v>82746</v>
      </c>
      <c r="B859" s="1" t="s">
        <v>1324</v>
      </c>
      <c r="C859" s="2">
        <v>36.18</v>
      </c>
    </row>
    <row r="860" spans="1:3" ht="11.25">
      <c r="A860" s="1" t="str">
        <f>"82747"</f>
        <v>82747</v>
      </c>
      <c r="B860" s="1" t="s">
        <v>1195</v>
      </c>
      <c r="C860" s="2">
        <v>62.16</v>
      </c>
    </row>
    <row r="861" spans="1:3" ht="11.25">
      <c r="A861" s="1" t="str">
        <f>"82757"</f>
        <v>82757</v>
      </c>
      <c r="B861" s="1" t="s">
        <v>1362</v>
      </c>
      <c r="C861" s="2">
        <v>27.32</v>
      </c>
    </row>
    <row r="862" spans="1:3" ht="11.25">
      <c r="A862" s="1" t="str">
        <f>"82759"</f>
        <v>82759</v>
      </c>
      <c r="B862" s="1" t="s">
        <v>1211</v>
      </c>
      <c r="C862" s="2">
        <v>52.86</v>
      </c>
    </row>
    <row r="863" spans="1:3" ht="11.25">
      <c r="A863" s="1" t="str">
        <f>"82760"</f>
        <v>82760</v>
      </c>
      <c r="B863" s="1" t="s">
        <v>1089</v>
      </c>
      <c r="C863" s="2">
        <v>27.32</v>
      </c>
    </row>
    <row r="864" spans="1:3" ht="11.25">
      <c r="A864" s="1" t="str">
        <f>"82775"</f>
        <v>82775</v>
      </c>
      <c r="B864" s="1" t="s">
        <v>39</v>
      </c>
      <c r="C864" s="2">
        <v>40.83</v>
      </c>
    </row>
    <row r="865" spans="1:3" ht="11.25">
      <c r="A865" s="1" t="str">
        <f>"82776"</f>
        <v>82776</v>
      </c>
      <c r="B865" s="1" t="s">
        <v>447</v>
      </c>
      <c r="C865" s="2">
        <v>20.62</v>
      </c>
    </row>
    <row r="866" spans="1:3" ht="11.25">
      <c r="A866" s="1" t="str">
        <f>"82784"</f>
        <v>82784</v>
      </c>
      <c r="B866" s="1" t="s">
        <v>889</v>
      </c>
      <c r="C866" s="2">
        <v>22.88</v>
      </c>
    </row>
    <row r="867" spans="1:3" ht="11.25">
      <c r="A867" s="1" t="str">
        <f>"82785"</f>
        <v>82785</v>
      </c>
      <c r="B867" s="1" t="s">
        <v>1023</v>
      </c>
      <c r="C867" s="2">
        <v>33.03</v>
      </c>
    </row>
    <row r="868" spans="1:3" ht="11.25">
      <c r="A868" s="1" t="str">
        <f>"82787"</f>
        <v>82787</v>
      </c>
      <c r="B868" s="1" t="s">
        <v>272</v>
      </c>
      <c r="C868" s="2">
        <v>81.94</v>
      </c>
    </row>
    <row r="869" spans="1:3" ht="11.25">
      <c r="A869" s="1" t="str">
        <f>"82800"</f>
        <v>82800</v>
      </c>
      <c r="B869" s="1" t="s">
        <v>909</v>
      </c>
      <c r="C869" s="2">
        <v>20.53</v>
      </c>
    </row>
    <row r="870" spans="1:3" ht="11.25">
      <c r="A870" s="1" t="str">
        <f>"82803"</f>
        <v>82803</v>
      </c>
      <c r="B870" s="1" t="s">
        <v>739</v>
      </c>
      <c r="C870" s="2">
        <v>47.6</v>
      </c>
    </row>
    <row r="871" spans="1:3" ht="11.25">
      <c r="A871" s="1" t="str">
        <f>"82805"</f>
        <v>82805</v>
      </c>
      <c r="B871" s="1" t="s">
        <v>73</v>
      </c>
      <c r="C871" s="2">
        <v>69.16</v>
      </c>
    </row>
    <row r="872" spans="1:3" ht="11.25">
      <c r="A872" s="1" t="str">
        <f>"82810"</f>
        <v>82810</v>
      </c>
      <c r="B872" s="1" t="s">
        <v>1435</v>
      </c>
      <c r="C872" s="2">
        <v>21.48</v>
      </c>
    </row>
    <row r="873" spans="1:3" ht="11.25">
      <c r="A873" s="1" t="str">
        <f>"82820"</f>
        <v>82820</v>
      </c>
      <c r="B873" s="1" t="s">
        <v>1124</v>
      </c>
      <c r="C873" s="2">
        <v>27.98</v>
      </c>
    </row>
    <row r="874" spans="1:3" ht="11.25">
      <c r="A874" s="1" t="str">
        <f>"82926"</f>
        <v>82926</v>
      </c>
      <c r="B874" s="1" t="s">
        <v>1701</v>
      </c>
      <c r="C874" s="2">
        <v>14</v>
      </c>
    </row>
    <row r="875" spans="1:3" ht="11.25">
      <c r="A875" s="1" t="str">
        <f>"82928"</f>
        <v>82928</v>
      </c>
      <c r="B875" s="1" t="s">
        <v>1689</v>
      </c>
      <c r="C875" s="2">
        <v>16.12</v>
      </c>
    </row>
    <row r="876" spans="1:3" ht="11.25">
      <c r="A876" s="1" t="str">
        <f>"82938"</f>
        <v>82938</v>
      </c>
      <c r="B876" s="1" t="s">
        <v>72</v>
      </c>
      <c r="C876" s="2">
        <v>43.53</v>
      </c>
    </row>
    <row r="877" spans="1:3" ht="11.25">
      <c r="A877" s="1" t="str">
        <f>"82941"</f>
        <v>82941</v>
      </c>
      <c r="B877" s="1" t="s">
        <v>838</v>
      </c>
      <c r="C877" s="2">
        <v>43.39</v>
      </c>
    </row>
    <row r="878" spans="1:3" ht="11.25">
      <c r="A878" s="1" t="str">
        <f>"82943"</f>
        <v>82943</v>
      </c>
      <c r="B878" s="1" t="s">
        <v>608</v>
      </c>
      <c r="C878" s="2">
        <v>35.15</v>
      </c>
    </row>
    <row r="879" spans="1:3" ht="11.25">
      <c r="A879" s="1" t="str">
        <f>"82945"</f>
        <v>82945</v>
      </c>
      <c r="B879" s="1" t="s">
        <v>395</v>
      </c>
      <c r="C879" s="2">
        <v>9.42</v>
      </c>
    </row>
    <row r="880" spans="1:3" ht="11.25">
      <c r="A880" s="1" t="str">
        <f>"82946"</f>
        <v>82946</v>
      </c>
      <c r="B880" s="1" t="s">
        <v>1264</v>
      </c>
      <c r="C880" s="2">
        <v>10.6</v>
      </c>
    </row>
    <row r="881" spans="1:3" ht="11.25">
      <c r="A881" s="1" t="str">
        <f>"82947"</f>
        <v>82947</v>
      </c>
      <c r="B881" s="1" t="s">
        <v>1073</v>
      </c>
      <c r="C881" s="2">
        <v>9.66</v>
      </c>
    </row>
    <row r="882" spans="1:3" ht="11.25">
      <c r="A882" s="1" t="str">
        <f>"82948"</f>
        <v>82948</v>
      </c>
      <c r="B882" s="1" t="s">
        <v>459</v>
      </c>
      <c r="C882" s="2">
        <v>7.77</v>
      </c>
    </row>
    <row r="883" spans="1:3" ht="11.25">
      <c r="A883" s="1" t="str">
        <f>"82950"</f>
        <v>82950</v>
      </c>
      <c r="B883" s="1" t="s">
        <v>1092</v>
      </c>
      <c r="C883" s="2">
        <v>11.67</v>
      </c>
    </row>
    <row r="884" spans="1:3" ht="11.25">
      <c r="A884" s="1" t="str">
        <f>"82951"</f>
        <v>82951</v>
      </c>
      <c r="B884" s="1" t="s">
        <v>331</v>
      </c>
      <c r="C884" s="2">
        <v>31.66</v>
      </c>
    </row>
    <row r="885" spans="1:3" ht="11.25">
      <c r="A885" s="1" t="str">
        <f>"82952"</f>
        <v>82952</v>
      </c>
      <c r="B885" s="1" t="s">
        <v>528</v>
      </c>
      <c r="C885" s="2">
        <v>7.85</v>
      </c>
    </row>
    <row r="886" spans="1:3" ht="11.25">
      <c r="A886" s="1" t="str">
        <f>"82953"</f>
        <v>82953</v>
      </c>
      <c r="B886" s="1" t="s">
        <v>832</v>
      </c>
      <c r="C886" s="2">
        <v>37.29</v>
      </c>
    </row>
    <row r="887" spans="1:3" ht="11.25">
      <c r="A887" s="1" t="str">
        <f>"82955"</f>
        <v>82955</v>
      </c>
      <c r="B887" s="1" t="s">
        <v>1587</v>
      </c>
      <c r="C887" s="2">
        <v>22.44</v>
      </c>
    </row>
    <row r="888" spans="1:3" ht="11.25">
      <c r="A888" s="1" t="str">
        <f>"82960"</f>
        <v>82960</v>
      </c>
      <c r="B888" s="1" t="s">
        <v>276</v>
      </c>
      <c r="C888" s="2">
        <v>10.6</v>
      </c>
    </row>
    <row r="889" spans="1:3" ht="11.25">
      <c r="A889" s="1" t="str">
        <f>"82962"</f>
        <v>82962</v>
      </c>
      <c r="B889" s="1" t="s">
        <v>346</v>
      </c>
      <c r="C889" s="2">
        <v>7.77</v>
      </c>
    </row>
    <row r="890" spans="1:3" ht="11.25">
      <c r="A890" s="1" t="str">
        <f>"82963"</f>
        <v>82963</v>
      </c>
      <c r="B890" s="1" t="s">
        <v>293</v>
      </c>
      <c r="C890" s="2">
        <v>52.86</v>
      </c>
    </row>
    <row r="891" spans="1:3" ht="11.25">
      <c r="A891" s="1" t="str">
        <f>"82965"</f>
        <v>82965</v>
      </c>
      <c r="B891" s="1" t="s">
        <v>917</v>
      </c>
      <c r="C891" s="2">
        <v>12.5</v>
      </c>
    </row>
    <row r="892" spans="1:3" ht="11.25">
      <c r="A892" s="1" t="str">
        <f>"82975"</f>
        <v>82975</v>
      </c>
      <c r="B892" s="1" t="s">
        <v>503</v>
      </c>
      <c r="C892" s="2">
        <v>38.95</v>
      </c>
    </row>
    <row r="893" spans="1:3" ht="11.25">
      <c r="A893" s="1" t="str">
        <f>"82977"</f>
        <v>82977</v>
      </c>
      <c r="B893" s="1" t="s">
        <v>339</v>
      </c>
      <c r="C893" s="2">
        <v>17.15</v>
      </c>
    </row>
    <row r="894" spans="1:3" ht="11.25">
      <c r="A894" s="1" t="str">
        <f>"82978"</f>
        <v>82978</v>
      </c>
      <c r="B894" s="1" t="s">
        <v>1109</v>
      </c>
      <c r="C894" s="2">
        <v>34.09</v>
      </c>
    </row>
    <row r="895" spans="1:3" ht="11.25">
      <c r="A895" s="1" t="str">
        <f>"82979"</f>
        <v>82979</v>
      </c>
      <c r="B895" s="1" t="s">
        <v>747</v>
      </c>
      <c r="C895" s="2">
        <v>13.56</v>
      </c>
    </row>
    <row r="896" spans="1:3" ht="11.25">
      <c r="A896" s="1" t="str">
        <f>"82980"</f>
        <v>82980</v>
      </c>
      <c r="B896" s="1" t="s">
        <v>45</v>
      </c>
      <c r="C896" s="2">
        <v>45.06</v>
      </c>
    </row>
    <row r="897" spans="1:3" ht="11.25">
      <c r="A897" s="1" t="str">
        <f>"82985"</f>
        <v>82985</v>
      </c>
      <c r="B897" s="1" t="s">
        <v>1550</v>
      </c>
      <c r="C897" s="2">
        <v>37.07</v>
      </c>
    </row>
    <row r="898" spans="1:3" ht="11.25">
      <c r="A898" s="1" t="str">
        <f>"83001"</f>
        <v>83001</v>
      </c>
      <c r="B898" s="1" t="s">
        <v>619</v>
      </c>
      <c r="C898" s="2">
        <v>45.71</v>
      </c>
    </row>
    <row r="899" spans="1:3" ht="11.25">
      <c r="A899" s="1" t="str">
        <f>"83002"</f>
        <v>83002</v>
      </c>
      <c r="B899" s="1" t="s">
        <v>761</v>
      </c>
      <c r="C899" s="2">
        <v>43.61</v>
      </c>
    </row>
    <row r="900" spans="1:3" ht="11.25">
      <c r="A900" s="1" t="str">
        <f>"83003"</f>
        <v>83003</v>
      </c>
      <c r="B900" s="1" t="s">
        <v>142</v>
      </c>
      <c r="C900" s="2">
        <v>40.99</v>
      </c>
    </row>
    <row r="901" spans="1:3" ht="11.25">
      <c r="A901" s="1" t="str">
        <f>"83008"</f>
        <v>83008</v>
      </c>
      <c r="B901" s="1" t="s">
        <v>511</v>
      </c>
      <c r="C901" s="2">
        <v>40.83</v>
      </c>
    </row>
    <row r="902" spans="1:3" ht="11.25">
      <c r="A902" s="1" t="str">
        <f>"83009"</f>
        <v>83009</v>
      </c>
      <c r="B902" s="1" t="s">
        <v>1540</v>
      </c>
      <c r="C902" s="2">
        <v>105.46</v>
      </c>
    </row>
    <row r="903" spans="1:3" ht="11.25">
      <c r="A903" s="1" t="str">
        <f>"83010"</f>
        <v>83010</v>
      </c>
      <c r="B903" s="1" t="s">
        <v>275</v>
      </c>
      <c r="C903" s="2">
        <v>27.67</v>
      </c>
    </row>
    <row r="904" spans="1:3" ht="11.25">
      <c r="A904" s="1" t="str">
        <f>"83012"</f>
        <v>83012</v>
      </c>
      <c r="B904" s="1" t="s">
        <v>667</v>
      </c>
      <c r="C904" s="2">
        <v>27.32</v>
      </c>
    </row>
    <row r="905" spans="1:3" ht="11.25">
      <c r="A905" s="1" t="str">
        <f>"83013"</f>
        <v>83013</v>
      </c>
      <c r="B905" s="1" t="s">
        <v>1053</v>
      </c>
      <c r="C905" s="2">
        <v>104.31</v>
      </c>
    </row>
    <row r="906" spans="1:3" ht="11.25">
      <c r="A906" s="1" t="str">
        <f>"83014"</f>
        <v>83014</v>
      </c>
      <c r="B906" s="1" t="s">
        <v>1735</v>
      </c>
      <c r="C906" s="2">
        <v>18.89</v>
      </c>
    </row>
    <row r="907" spans="1:3" ht="11.25">
      <c r="A907" s="1" t="str">
        <f>"83015"</f>
        <v>83015</v>
      </c>
      <c r="B907" s="1" t="s">
        <v>1327</v>
      </c>
      <c r="C907" s="2">
        <v>46.35</v>
      </c>
    </row>
    <row r="908" spans="1:3" ht="11.25">
      <c r="A908" s="1" t="str">
        <f>"83018"</f>
        <v>83018</v>
      </c>
      <c r="B908" s="1" t="s">
        <v>679</v>
      </c>
      <c r="C908" s="2">
        <v>11.96</v>
      </c>
    </row>
    <row r="909" spans="1:3" ht="11.25">
      <c r="A909" s="1" t="str">
        <f>"83020"</f>
        <v>83020</v>
      </c>
      <c r="B909" s="1" t="s">
        <v>1128</v>
      </c>
      <c r="C909" s="2">
        <v>6.55</v>
      </c>
    </row>
    <row r="910" spans="1:3" ht="11.25">
      <c r="A910" s="1" t="str">
        <f>"83021"</f>
        <v>83021</v>
      </c>
      <c r="B910" s="1" t="s">
        <v>179</v>
      </c>
      <c r="C910" s="2">
        <v>43.39</v>
      </c>
    </row>
    <row r="911" spans="1:3" ht="11.25">
      <c r="A911" s="1" t="str">
        <f>"83026"</f>
        <v>83026</v>
      </c>
      <c r="B911" s="1" t="s">
        <v>589</v>
      </c>
      <c r="C911" s="2">
        <v>5.8</v>
      </c>
    </row>
    <row r="912" spans="1:3" ht="11.25">
      <c r="A912" s="1" t="str">
        <f>"83030"</f>
        <v>83030</v>
      </c>
      <c r="B912" s="1" t="s">
        <v>1378</v>
      </c>
      <c r="C912" s="2">
        <v>15.9</v>
      </c>
    </row>
    <row r="913" spans="1:3" ht="11.25">
      <c r="A913" s="1" t="str">
        <f>"83033"</f>
        <v>83033</v>
      </c>
      <c r="B913" s="1" t="s">
        <v>990</v>
      </c>
      <c r="C913" s="2">
        <v>13.56</v>
      </c>
    </row>
    <row r="914" spans="1:3" ht="11.25">
      <c r="A914" s="1" t="str">
        <f>"83036"</f>
        <v>83036</v>
      </c>
      <c r="B914" s="1" t="s">
        <v>1039</v>
      </c>
      <c r="C914" s="2">
        <v>23.89</v>
      </c>
    </row>
    <row r="915" spans="1:3" ht="11.25">
      <c r="A915" s="1" t="str">
        <f>"83045"</f>
        <v>83045</v>
      </c>
      <c r="B915" s="1" t="s">
        <v>144</v>
      </c>
      <c r="C915" s="2">
        <v>12.2</v>
      </c>
    </row>
    <row r="916" spans="1:3" ht="11.25">
      <c r="A916" s="1" t="str">
        <f>"83050"</f>
        <v>83050</v>
      </c>
      <c r="B916" s="1" t="s">
        <v>467</v>
      </c>
      <c r="C916" s="2">
        <v>4.07</v>
      </c>
    </row>
    <row r="917" spans="1:3" ht="11.25">
      <c r="A917" s="1" t="str">
        <f>"83051"</f>
        <v>83051</v>
      </c>
      <c r="B917" s="1" t="s">
        <v>413</v>
      </c>
      <c r="C917" s="2">
        <v>7.85</v>
      </c>
    </row>
    <row r="918" spans="1:3" ht="11.25">
      <c r="A918" s="1" t="str">
        <f>"83055"</f>
        <v>83055</v>
      </c>
      <c r="B918" s="1" t="s">
        <v>1522</v>
      </c>
      <c r="C918" s="2">
        <v>12.12</v>
      </c>
    </row>
    <row r="919" spans="1:3" ht="11.25">
      <c r="A919" s="1" t="str">
        <f>"83060"</f>
        <v>83060</v>
      </c>
      <c r="B919" s="1" t="s">
        <v>1582</v>
      </c>
      <c r="C919" s="2">
        <v>6.55</v>
      </c>
    </row>
    <row r="920" spans="1:3" ht="11.25">
      <c r="A920" s="1" t="str">
        <f>"83065"</f>
        <v>83065</v>
      </c>
      <c r="B920" s="1" t="s">
        <v>665</v>
      </c>
      <c r="C920" s="2">
        <v>5.5</v>
      </c>
    </row>
    <row r="921" spans="1:3" ht="11.25">
      <c r="A921" s="1" t="str">
        <f>"83068"</f>
        <v>83068</v>
      </c>
      <c r="B921" s="1" t="s">
        <v>337</v>
      </c>
      <c r="C921" s="2">
        <v>6.55</v>
      </c>
    </row>
    <row r="922" spans="1:3" ht="11.25">
      <c r="A922" s="1" t="str">
        <f>"83069"</f>
        <v>83069</v>
      </c>
      <c r="B922" s="1" t="s">
        <v>1497</v>
      </c>
      <c r="C922" s="2">
        <v>9.32</v>
      </c>
    </row>
    <row r="923" spans="1:3" ht="11.25">
      <c r="A923" s="1" t="str">
        <f>"83070"</f>
        <v>83070</v>
      </c>
      <c r="B923" s="1" t="s">
        <v>795</v>
      </c>
      <c r="C923" s="2">
        <v>5.5</v>
      </c>
    </row>
    <row r="924" spans="1:3" ht="11.25">
      <c r="A924" s="1" t="str">
        <f>"83071"</f>
        <v>83071</v>
      </c>
      <c r="B924" s="1" t="s">
        <v>361</v>
      </c>
      <c r="C924" s="2">
        <v>6.74</v>
      </c>
    </row>
    <row r="925" spans="1:3" ht="11.25">
      <c r="A925" s="1" t="str">
        <f>"83088"</f>
        <v>83088</v>
      </c>
      <c r="B925" s="1" t="s">
        <v>1188</v>
      </c>
      <c r="C925" s="2">
        <v>68.17</v>
      </c>
    </row>
    <row r="926" spans="1:3" ht="11.25">
      <c r="A926" s="1" t="str">
        <f>"83090"</f>
        <v>83090</v>
      </c>
      <c r="B926" s="1" t="s">
        <v>501</v>
      </c>
      <c r="C926" s="2">
        <v>35.21</v>
      </c>
    </row>
    <row r="927" spans="1:3" ht="11.25">
      <c r="A927" s="1" t="str">
        <f>"83150"</f>
        <v>83150</v>
      </c>
      <c r="B927" s="1" t="s">
        <v>316</v>
      </c>
      <c r="C927" s="2">
        <v>47.6</v>
      </c>
    </row>
    <row r="928" spans="1:3" ht="11.25">
      <c r="A928" s="1" t="str">
        <f>"83491"</f>
        <v>83491</v>
      </c>
      <c r="B928" s="1" t="s">
        <v>556</v>
      </c>
      <c r="C928" s="2">
        <v>35.92</v>
      </c>
    </row>
    <row r="929" spans="1:3" ht="11.25">
      <c r="A929" s="1" t="str">
        <f>"83497"</f>
        <v>83497</v>
      </c>
      <c r="B929" s="1" t="s">
        <v>1410</v>
      </c>
      <c r="C929" s="2">
        <v>31.74</v>
      </c>
    </row>
    <row r="930" spans="1:3" ht="11.25">
      <c r="A930" s="1" t="str">
        <f>"83498"</f>
        <v>83498</v>
      </c>
      <c r="B930" s="1" t="s">
        <v>531</v>
      </c>
      <c r="C930" s="2">
        <v>66.83</v>
      </c>
    </row>
    <row r="931" spans="1:3" ht="11.25">
      <c r="A931" s="1" t="str">
        <f>"83499"</f>
        <v>83499</v>
      </c>
      <c r="B931" s="1" t="s">
        <v>401</v>
      </c>
      <c r="C931" s="2">
        <v>42.35</v>
      </c>
    </row>
    <row r="932" spans="1:3" ht="11.25">
      <c r="A932" s="1" t="str">
        <f>"83500"</f>
        <v>83500</v>
      </c>
      <c r="B932" s="1" t="s">
        <v>1584</v>
      </c>
      <c r="C932" s="2">
        <v>55.72</v>
      </c>
    </row>
    <row r="933" spans="1:3" ht="11.25">
      <c r="A933" s="1" t="str">
        <f>"83505"</f>
        <v>83505</v>
      </c>
      <c r="B933" s="1" t="s">
        <v>587</v>
      </c>
      <c r="C933" s="2">
        <v>59.81</v>
      </c>
    </row>
    <row r="934" spans="1:3" ht="11.25">
      <c r="A934" s="1" t="str">
        <f>"83516"</f>
        <v>83516</v>
      </c>
      <c r="B934" s="1" t="s">
        <v>1602</v>
      </c>
      <c r="C934" s="2">
        <v>34.89</v>
      </c>
    </row>
    <row r="935" spans="1:3" ht="11.25">
      <c r="A935" s="1" t="str">
        <f>"83518"</f>
        <v>83518</v>
      </c>
      <c r="B935" s="1" t="s">
        <v>1417</v>
      </c>
      <c r="C935" s="2">
        <v>30.11</v>
      </c>
    </row>
    <row r="936" spans="1:3" ht="11.25">
      <c r="A936" s="1" t="str">
        <f>"83519"</f>
        <v>83519</v>
      </c>
      <c r="B936" s="1" t="s">
        <v>735</v>
      </c>
      <c r="C936" s="2">
        <v>33.24</v>
      </c>
    </row>
    <row r="937" spans="1:3" ht="11.25">
      <c r="A937" s="1" t="str">
        <f>"83520"</f>
        <v>83520</v>
      </c>
      <c r="B937" s="1" t="s">
        <v>1518</v>
      </c>
      <c r="C937" s="2">
        <v>31.85</v>
      </c>
    </row>
    <row r="938" spans="1:3" ht="11.25">
      <c r="A938" s="1" t="str">
        <f>"83525"</f>
        <v>83525</v>
      </c>
      <c r="B938" s="1" t="s">
        <v>1464</v>
      </c>
      <c r="C938" s="2">
        <v>28.12</v>
      </c>
    </row>
    <row r="939" spans="1:3" ht="11.25">
      <c r="A939" s="1" t="str">
        <f>"83527"</f>
        <v>83527</v>
      </c>
      <c r="B939" s="1" t="s">
        <v>492</v>
      </c>
      <c r="C939" s="2">
        <v>32.14</v>
      </c>
    </row>
    <row r="940" spans="1:3" ht="11.25">
      <c r="A940" s="1" t="str">
        <f>"83528"</f>
        <v>83528</v>
      </c>
      <c r="B940" s="1" t="s">
        <v>555</v>
      </c>
      <c r="C940" s="2">
        <v>31.31</v>
      </c>
    </row>
    <row r="941" spans="1:3" ht="11.25">
      <c r="A941" s="1" t="str">
        <f>"83540"</f>
        <v>83540</v>
      </c>
      <c r="B941" s="1" t="s">
        <v>472</v>
      </c>
      <c r="C941" s="2">
        <v>15.95</v>
      </c>
    </row>
    <row r="942" spans="1:3" ht="11.25">
      <c r="A942" s="1" t="str">
        <f>"83550"</f>
        <v>83550</v>
      </c>
      <c r="B942" s="1" t="s">
        <v>1172</v>
      </c>
      <c r="C942" s="2">
        <v>21.66</v>
      </c>
    </row>
    <row r="943" spans="1:3" ht="11.25">
      <c r="A943" s="1" t="str">
        <f>"83570"</f>
        <v>83570</v>
      </c>
      <c r="B943" s="1" t="s">
        <v>879</v>
      </c>
      <c r="C943" s="2">
        <v>21.75</v>
      </c>
    </row>
    <row r="944" spans="1:3" ht="11.25">
      <c r="A944" s="1" t="str">
        <f>"83582"</f>
        <v>83582</v>
      </c>
      <c r="B944" s="1" t="s">
        <v>432</v>
      </c>
      <c r="C944" s="2">
        <v>34.86</v>
      </c>
    </row>
    <row r="945" spans="1:3" ht="11.25">
      <c r="A945" s="1" t="str">
        <f>"83586"</f>
        <v>83586</v>
      </c>
      <c r="B945" s="1" t="s">
        <v>1589</v>
      </c>
      <c r="C945" s="2">
        <v>31.39</v>
      </c>
    </row>
    <row r="946" spans="1:3" ht="11.25">
      <c r="A946" s="1" t="str">
        <f>"83593"</f>
        <v>83593</v>
      </c>
      <c r="B946" s="1" t="s">
        <v>1222</v>
      </c>
      <c r="C946" s="2">
        <v>64.69</v>
      </c>
    </row>
    <row r="947" spans="1:3" ht="11.25">
      <c r="A947" s="1" t="str">
        <f>"83605"</f>
        <v>83605</v>
      </c>
      <c r="B947" s="1" t="s">
        <v>859</v>
      </c>
      <c r="C947" s="2">
        <v>26.27</v>
      </c>
    </row>
    <row r="948" spans="1:3" ht="11.25">
      <c r="A948" s="1" t="str">
        <f>"83615"</f>
        <v>83615</v>
      </c>
      <c r="B948" s="1" t="s">
        <v>912</v>
      </c>
      <c r="C948" s="2">
        <v>14.8</v>
      </c>
    </row>
    <row r="949" spans="1:3" ht="11.25">
      <c r="A949" s="1" t="str">
        <f>"83625"</f>
        <v>83625</v>
      </c>
      <c r="B949" s="1" t="s">
        <v>895</v>
      </c>
      <c r="C949" s="2">
        <v>13.53</v>
      </c>
    </row>
    <row r="950" spans="1:3" ht="11.25">
      <c r="A950" s="1" t="str">
        <f>"83632"</f>
        <v>83632</v>
      </c>
      <c r="B950" s="1" t="s">
        <v>830</v>
      </c>
      <c r="C950" s="2">
        <v>47.66</v>
      </c>
    </row>
    <row r="951" spans="1:3" ht="11.25">
      <c r="A951" s="1" t="str">
        <f>"83633"</f>
        <v>83633</v>
      </c>
      <c r="B951" s="1" t="s">
        <v>536</v>
      </c>
      <c r="C951" s="2">
        <v>13.53</v>
      </c>
    </row>
    <row r="952" spans="1:3" ht="11.25">
      <c r="A952" s="1" t="str">
        <f>"83634"</f>
        <v>83634</v>
      </c>
      <c r="B952" s="1" t="s">
        <v>347</v>
      </c>
      <c r="C952" s="2">
        <v>28.33</v>
      </c>
    </row>
    <row r="953" spans="1:3" ht="11.25">
      <c r="A953" s="1" t="str">
        <f>"83655"</f>
        <v>83655</v>
      </c>
      <c r="B953" s="1" t="s">
        <v>421</v>
      </c>
      <c r="C953" s="2">
        <v>29.79</v>
      </c>
    </row>
    <row r="954" spans="1:3" ht="11.25">
      <c r="A954" s="1" t="str">
        <f>"83661"</f>
        <v>83661</v>
      </c>
      <c r="B954" s="1" t="s">
        <v>1428</v>
      </c>
      <c r="C954" s="2">
        <v>54.06</v>
      </c>
    </row>
    <row r="955" spans="1:3" ht="11.25">
      <c r="A955" s="1" t="str">
        <f>"83662"</f>
        <v>83662</v>
      </c>
      <c r="B955" s="1" t="s">
        <v>789</v>
      </c>
      <c r="C955" s="2">
        <v>84.59</v>
      </c>
    </row>
    <row r="956" spans="1:3" ht="11.25">
      <c r="A956" s="1" t="str">
        <f>"83663"</f>
        <v>83663</v>
      </c>
      <c r="B956" s="1" t="s">
        <v>151</v>
      </c>
      <c r="C956" s="2">
        <v>22.72</v>
      </c>
    </row>
    <row r="957" spans="1:3" ht="11.25">
      <c r="A957" s="1" t="str">
        <f>"83670"</f>
        <v>83670</v>
      </c>
      <c r="B957" s="1" t="s">
        <v>1054</v>
      </c>
      <c r="C957" s="2">
        <v>22.46</v>
      </c>
    </row>
    <row r="958" spans="1:3" ht="11.25">
      <c r="A958" s="1" t="str">
        <f>"83690"</f>
        <v>83690</v>
      </c>
      <c r="B958" s="1" t="s">
        <v>875</v>
      </c>
      <c r="C958" s="2">
        <v>16.52</v>
      </c>
    </row>
    <row r="959" spans="1:3" ht="11.25">
      <c r="A959" s="1" t="str">
        <f>"83695"</f>
        <v>83695</v>
      </c>
      <c r="B959" s="1" t="s">
        <v>1570</v>
      </c>
      <c r="C959" s="2">
        <v>34.09</v>
      </c>
    </row>
    <row r="960" spans="1:3" ht="11.25">
      <c r="A960" s="1" t="str">
        <f>"83700"</f>
        <v>83700</v>
      </c>
      <c r="B960" s="1" t="s">
        <v>1146</v>
      </c>
      <c r="C960" s="2">
        <v>29.56</v>
      </c>
    </row>
    <row r="961" spans="1:3" ht="11.25">
      <c r="A961" s="1" t="str">
        <f>"83701"</f>
        <v>83701</v>
      </c>
      <c r="B961" s="1" t="s">
        <v>707</v>
      </c>
      <c r="C961" s="2">
        <v>65.17</v>
      </c>
    </row>
    <row r="962" spans="1:3" ht="11.25">
      <c r="A962" s="1" t="str">
        <f>"83704"</f>
        <v>83704</v>
      </c>
      <c r="B962" s="1" t="s">
        <v>1661</v>
      </c>
      <c r="C962" s="2">
        <v>82.83</v>
      </c>
    </row>
    <row r="963" spans="1:3" ht="11.25">
      <c r="A963" s="1" t="str">
        <f>"83718"</f>
        <v>83718</v>
      </c>
      <c r="B963" s="1" t="s">
        <v>143</v>
      </c>
      <c r="C963" s="2">
        <v>19.9</v>
      </c>
    </row>
    <row r="964" spans="1:3" ht="11.25">
      <c r="A964" s="1" t="str">
        <f>"83719"</f>
        <v>83719</v>
      </c>
      <c r="B964" s="1" t="s">
        <v>1565</v>
      </c>
      <c r="C964" s="2">
        <v>19.08</v>
      </c>
    </row>
    <row r="965" spans="1:3" ht="11.25">
      <c r="A965" s="1" t="str">
        <f>"83721"</f>
        <v>83721</v>
      </c>
      <c r="B965" s="1" t="s">
        <v>169</v>
      </c>
      <c r="C965" s="2">
        <v>19.03</v>
      </c>
    </row>
    <row r="966" spans="1:3" ht="11.25">
      <c r="A966" s="1" t="str">
        <f>"83727"</f>
        <v>83727</v>
      </c>
      <c r="B966" s="1" t="s">
        <v>1436</v>
      </c>
      <c r="C966" s="2">
        <v>36.86</v>
      </c>
    </row>
    <row r="967" spans="1:3" ht="11.25">
      <c r="A967" s="1" t="str">
        <f>"83735"</f>
        <v>83735</v>
      </c>
      <c r="B967" s="1" t="s">
        <v>911</v>
      </c>
      <c r="C967" s="2">
        <v>16.38</v>
      </c>
    </row>
    <row r="968" spans="1:3" ht="11.25">
      <c r="A968" s="1" t="str">
        <f>"83775"</f>
        <v>83775</v>
      </c>
      <c r="B968" s="1" t="s">
        <v>1232</v>
      </c>
      <c r="C968" s="2">
        <v>18.14</v>
      </c>
    </row>
    <row r="969" spans="1:3" ht="11.25">
      <c r="A969" s="1" t="str">
        <f>"83785"</f>
        <v>83785</v>
      </c>
      <c r="B969" s="1" t="s">
        <v>858</v>
      </c>
      <c r="C969" s="2">
        <v>40.83</v>
      </c>
    </row>
    <row r="970" spans="1:3" ht="11.25">
      <c r="A970" s="1" t="str">
        <f>"83805"</f>
        <v>83805</v>
      </c>
      <c r="B970" s="1" t="s">
        <v>798</v>
      </c>
      <c r="C970" s="2">
        <v>40.83</v>
      </c>
    </row>
    <row r="971" spans="1:3" ht="11.25">
      <c r="A971" s="1" t="str">
        <f>"83825"</f>
        <v>83825</v>
      </c>
      <c r="B971" s="1" t="s">
        <v>20</v>
      </c>
      <c r="C971" s="2">
        <v>39.82</v>
      </c>
    </row>
    <row r="972" spans="1:3" ht="11.25">
      <c r="A972" s="1" t="str">
        <f>"83835"</f>
        <v>83835</v>
      </c>
      <c r="B972" s="1" t="s">
        <v>933</v>
      </c>
      <c r="C972" s="2">
        <v>41.7</v>
      </c>
    </row>
    <row r="973" spans="1:3" ht="11.25">
      <c r="A973" s="1" t="str">
        <f>"83840"</f>
        <v>83840</v>
      </c>
      <c r="B973" s="1" t="s">
        <v>776</v>
      </c>
      <c r="C973" s="2">
        <v>40.15</v>
      </c>
    </row>
    <row r="974" spans="1:3" ht="11.25">
      <c r="A974" s="1" t="str">
        <f>"83857"</f>
        <v>83857</v>
      </c>
      <c r="B974" s="1" t="s">
        <v>1022</v>
      </c>
      <c r="C974" s="2">
        <v>21.82</v>
      </c>
    </row>
    <row r="975" spans="1:3" ht="11.25">
      <c r="A975" s="1" t="str">
        <f>"83858"</f>
        <v>83858</v>
      </c>
      <c r="B975" s="1" t="s">
        <v>1664</v>
      </c>
      <c r="C975" s="2">
        <v>37.9</v>
      </c>
    </row>
    <row r="976" spans="1:3" ht="11.25">
      <c r="A976" s="1" t="str">
        <f>"83864"</f>
        <v>83864</v>
      </c>
      <c r="B976" s="1" t="s">
        <v>240</v>
      </c>
      <c r="C976" s="2">
        <v>40.06</v>
      </c>
    </row>
    <row r="977" spans="1:3" ht="11.25">
      <c r="A977" s="1" t="str">
        <f>"83866"</f>
        <v>83866</v>
      </c>
      <c r="B977" s="1" t="s">
        <v>1100</v>
      </c>
      <c r="C977" s="2">
        <v>24.25</v>
      </c>
    </row>
    <row r="978" spans="1:3" ht="11.25">
      <c r="A978" s="1" t="str">
        <f>"83872"</f>
        <v>83872</v>
      </c>
      <c r="B978" s="1" t="s">
        <v>546</v>
      </c>
      <c r="C978" s="2">
        <v>14.42</v>
      </c>
    </row>
    <row r="979" spans="1:3" ht="11.25">
      <c r="A979" s="1" t="str">
        <f>"83873"</f>
        <v>83873</v>
      </c>
      <c r="B979" s="1" t="s">
        <v>544</v>
      </c>
      <c r="C979" s="2">
        <v>42.33</v>
      </c>
    </row>
    <row r="980" spans="1:3" ht="11.25">
      <c r="A980" s="1" t="str">
        <f>"83874"</f>
        <v>83874</v>
      </c>
      <c r="B980" s="1" t="s">
        <v>517</v>
      </c>
      <c r="C980" s="2">
        <v>27.32</v>
      </c>
    </row>
    <row r="981" spans="1:3" ht="11.25">
      <c r="A981" s="1" t="str">
        <f>"83876"</f>
        <v>83876</v>
      </c>
      <c r="B981" s="1" t="s">
        <v>517</v>
      </c>
      <c r="C981" s="2">
        <v>27.32</v>
      </c>
    </row>
    <row r="982" spans="1:3" ht="11.25">
      <c r="A982" s="1" t="str">
        <f>"83880"</f>
        <v>83880</v>
      </c>
      <c r="B982" s="1" t="s">
        <v>569</v>
      </c>
      <c r="C982" s="2">
        <v>46.17</v>
      </c>
    </row>
    <row r="983" spans="1:3" ht="11.25">
      <c r="A983" s="1" t="str">
        <f>"83883"</f>
        <v>83883</v>
      </c>
      <c r="B983" s="1" t="s">
        <v>954</v>
      </c>
      <c r="C983" s="2">
        <v>33.47</v>
      </c>
    </row>
    <row r="984" spans="1:3" ht="11.25">
      <c r="A984" s="1" t="str">
        <f>"83885"</f>
        <v>83885</v>
      </c>
      <c r="B984" s="1" t="s">
        <v>755</v>
      </c>
      <c r="C984" s="2">
        <v>60.28</v>
      </c>
    </row>
    <row r="985" spans="1:3" ht="11.25">
      <c r="A985" s="1" t="str">
        <f>"83887"</f>
        <v>83887</v>
      </c>
      <c r="B985" s="1" t="s">
        <v>1554</v>
      </c>
      <c r="C985" s="2">
        <v>58.27</v>
      </c>
    </row>
    <row r="986" spans="1:3" ht="11.25">
      <c r="A986" s="1" t="str">
        <f>"83890"</f>
        <v>83890</v>
      </c>
      <c r="B986" s="1" t="s">
        <v>1369</v>
      </c>
      <c r="C986" s="2">
        <v>9.87</v>
      </c>
    </row>
    <row r="987" spans="1:3" ht="11.25">
      <c r="A987" s="1" t="str">
        <f>"83891"</f>
        <v>83891</v>
      </c>
      <c r="B987" s="1" t="s">
        <v>290</v>
      </c>
      <c r="C987" s="2">
        <v>9.63</v>
      </c>
    </row>
    <row r="988" spans="1:3" ht="11.25">
      <c r="A988" s="1" t="str">
        <f>"83892"</f>
        <v>83892</v>
      </c>
      <c r="B988" s="1" t="s">
        <v>512</v>
      </c>
      <c r="C988" s="2">
        <v>9.87</v>
      </c>
    </row>
    <row r="989" spans="1:3" ht="11.25">
      <c r="A989" s="1" t="str">
        <f>"83893"</f>
        <v>83893</v>
      </c>
      <c r="B989" s="1" t="s">
        <v>433</v>
      </c>
      <c r="C989" s="2">
        <v>9.63</v>
      </c>
    </row>
    <row r="990" spans="1:3" ht="11.25">
      <c r="A990" s="1" t="str">
        <f>"83894"</f>
        <v>83894</v>
      </c>
      <c r="B990" s="1" t="s">
        <v>1488</v>
      </c>
      <c r="C990" s="2">
        <v>9.87</v>
      </c>
    </row>
    <row r="991" spans="1:3" ht="11.25">
      <c r="A991" s="1" t="str">
        <f>"83896"</f>
        <v>83896</v>
      </c>
      <c r="B991" s="1" t="s">
        <v>420</v>
      </c>
      <c r="C991" s="2">
        <v>9.87</v>
      </c>
    </row>
    <row r="992" spans="1:3" ht="11.25">
      <c r="A992" s="1" t="str">
        <f>"83897"</f>
        <v>83897</v>
      </c>
      <c r="B992" s="1" t="s">
        <v>1380</v>
      </c>
      <c r="C992" s="2">
        <v>9.63</v>
      </c>
    </row>
    <row r="993" spans="1:3" ht="11.25">
      <c r="A993" s="1" t="str">
        <f>"83898"</f>
        <v>83898</v>
      </c>
      <c r="B993" s="1" t="s">
        <v>407</v>
      </c>
      <c r="C993" s="2">
        <v>60.63</v>
      </c>
    </row>
    <row r="994" spans="1:3" ht="11.25">
      <c r="A994" s="1" t="str">
        <f>"83900"</f>
        <v>83900</v>
      </c>
      <c r="B994" s="1" t="s">
        <v>1630</v>
      </c>
      <c r="C994" s="2">
        <v>88.03</v>
      </c>
    </row>
    <row r="995" spans="1:3" ht="11.25">
      <c r="A995" s="1" t="str">
        <f>"83901"</f>
        <v>83901</v>
      </c>
      <c r="B995" s="1" t="s">
        <v>1080</v>
      </c>
      <c r="C995" s="2">
        <v>40.29</v>
      </c>
    </row>
    <row r="996" spans="1:3" ht="11.25">
      <c r="A996" s="1" t="str">
        <f>"83902"</f>
        <v>83902</v>
      </c>
      <c r="B996" s="1" t="s">
        <v>462</v>
      </c>
      <c r="C996" s="2">
        <v>54.13</v>
      </c>
    </row>
    <row r="997" spans="1:3" ht="11.25">
      <c r="A997" s="1" t="str">
        <f>"83903"</f>
        <v>83903</v>
      </c>
      <c r="B997" s="1" t="s">
        <v>1391</v>
      </c>
      <c r="C997" s="2">
        <v>40.29</v>
      </c>
    </row>
    <row r="998" spans="1:3" ht="11.25">
      <c r="A998" s="1" t="str">
        <f>"83904"</f>
        <v>83904</v>
      </c>
      <c r="B998" s="1" t="s">
        <v>378</v>
      </c>
      <c r="C998" s="2">
        <v>40.29</v>
      </c>
    </row>
    <row r="999" spans="1:3" ht="11.25">
      <c r="A999" s="1" t="str">
        <f>"83905"</f>
        <v>83905</v>
      </c>
      <c r="B999" s="1" t="s">
        <v>167</v>
      </c>
      <c r="C999" s="2">
        <v>40.29</v>
      </c>
    </row>
    <row r="1000" spans="1:3" ht="11.25">
      <c r="A1000" s="1" t="str">
        <f>"83906"</f>
        <v>83906</v>
      </c>
      <c r="B1000" s="1" t="s">
        <v>1196</v>
      </c>
      <c r="C1000" s="2">
        <v>40.29</v>
      </c>
    </row>
    <row r="1001" spans="1:3" ht="11.25">
      <c r="A1001" s="1" t="str">
        <f>"83907"</f>
        <v>83907</v>
      </c>
      <c r="B1001" s="1" t="s">
        <v>1629</v>
      </c>
      <c r="C1001" s="2">
        <v>35.08</v>
      </c>
    </row>
    <row r="1002" spans="1:3" ht="11.25">
      <c r="A1002" s="1" t="str">
        <f>"83908"</f>
        <v>83908</v>
      </c>
      <c r="B1002" s="1" t="s">
        <v>481</v>
      </c>
      <c r="C1002" s="2">
        <v>44.03</v>
      </c>
    </row>
    <row r="1003" spans="1:3" ht="11.25">
      <c r="A1003" s="1" t="str">
        <f>"83909"</f>
        <v>83909</v>
      </c>
      <c r="B1003" s="1" t="s">
        <v>794</v>
      </c>
      <c r="C1003" s="2">
        <v>44.03</v>
      </c>
    </row>
    <row r="1004" spans="1:3" ht="11.25">
      <c r="A1004" s="1" t="str">
        <f>"83912"</f>
        <v>83912</v>
      </c>
      <c r="B1004" s="1" t="s">
        <v>498</v>
      </c>
      <c r="C1004" s="2">
        <v>34.37</v>
      </c>
    </row>
    <row r="1005" spans="1:3" ht="11.25">
      <c r="A1005" s="1" t="str">
        <f>"83913"</f>
        <v>83913</v>
      </c>
      <c r="B1005" s="1" t="s">
        <v>1029</v>
      </c>
      <c r="C1005" s="2">
        <v>37.26</v>
      </c>
    </row>
    <row r="1006" spans="1:3" ht="11.25">
      <c r="A1006" s="1" t="str">
        <f>"83914"</f>
        <v>83914</v>
      </c>
      <c r="B1006" s="1" t="s">
        <v>1506</v>
      </c>
      <c r="C1006" s="2">
        <v>44.03</v>
      </c>
    </row>
    <row r="1007" spans="1:3" ht="11.25">
      <c r="A1007" s="1" t="str">
        <f>"83915"</f>
        <v>83915</v>
      </c>
      <c r="B1007" s="1" t="s">
        <v>1112</v>
      </c>
      <c r="C1007" s="2">
        <v>27.44</v>
      </c>
    </row>
    <row r="1008" spans="1:3" ht="11.25">
      <c r="A1008" s="1" t="str">
        <f>"83916"</f>
        <v>83916</v>
      </c>
      <c r="B1008" s="1" t="s">
        <v>127</v>
      </c>
      <c r="C1008" s="2">
        <v>50.51</v>
      </c>
    </row>
    <row r="1009" spans="1:3" ht="11.25">
      <c r="A1009" s="1" t="str">
        <f>"83918"</f>
        <v>83918</v>
      </c>
      <c r="B1009" s="1" t="s">
        <v>1079</v>
      </c>
      <c r="C1009" s="2">
        <v>34.09</v>
      </c>
    </row>
    <row r="1010" spans="1:3" ht="11.25">
      <c r="A1010" s="1" t="str">
        <f>"83919"</f>
        <v>83919</v>
      </c>
      <c r="B1010" s="1" t="s">
        <v>2</v>
      </c>
      <c r="C1010" s="2">
        <v>35.99</v>
      </c>
    </row>
    <row r="1011" spans="1:3" ht="11.25">
      <c r="A1011" s="1" t="str">
        <f>"83921"</f>
        <v>83921</v>
      </c>
      <c r="B1011" s="1" t="s">
        <v>385</v>
      </c>
      <c r="C1011" s="2">
        <v>35.99</v>
      </c>
    </row>
    <row r="1012" spans="1:3" ht="11.25">
      <c r="A1012" s="1" t="str">
        <f>"83925"</f>
        <v>83925</v>
      </c>
      <c r="B1012" s="1" t="s">
        <v>1429</v>
      </c>
      <c r="C1012" s="2">
        <v>47.78</v>
      </c>
    </row>
    <row r="1013" spans="1:3" ht="11.25">
      <c r="A1013" s="1" t="str">
        <f>"83930"</f>
        <v>83930</v>
      </c>
      <c r="B1013" s="1" t="s">
        <v>1287</v>
      </c>
      <c r="C1013" s="2">
        <v>13.56</v>
      </c>
    </row>
    <row r="1014" spans="1:3" ht="11.25">
      <c r="A1014" s="1" t="str">
        <f>"83935"</f>
        <v>83935</v>
      </c>
      <c r="B1014" s="1" t="s">
        <v>897</v>
      </c>
      <c r="C1014" s="2">
        <v>13.56</v>
      </c>
    </row>
    <row r="1015" spans="1:3" ht="11.25">
      <c r="A1015" s="1" t="str">
        <f>"83937"</f>
        <v>83937</v>
      </c>
      <c r="B1015" s="1" t="s">
        <v>778</v>
      </c>
      <c r="C1015" s="2">
        <v>71.72</v>
      </c>
    </row>
    <row r="1016" spans="1:3" ht="11.25">
      <c r="A1016" s="1" t="str">
        <f>"83945"</f>
        <v>83945</v>
      </c>
      <c r="B1016" s="1" t="s">
        <v>1385</v>
      </c>
      <c r="C1016" s="2">
        <v>31.66</v>
      </c>
    </row>
    <row r="1017" spans="1:3" ht="11.25">
      <c r="A1017" s="1" t="str">
        <f>"83950"</f>
        <v>83950</v>
      </c>
      <c r="B1017" s="1" t="s">
        <v>353</v>
      </c>
      <c r="C1017" s="2">
        <v>143.19</v>
      </c>
    </row>
    <row r="1018" spans="1:3" ht="11.25">
      <c r="A1018" s="1" t="str">
        <f>"83951"</f>
        <v>83951</v>
      </c>
      <c r="B1018" s="1" t="s">
        <v>353</v>
      </c>
      <c r="C1018" s="2">
        <v>143.19</v>
      </c>
    </row>
    <row r="1019" spans="1:3" ht="11.25">
      <c r="A1019" s="1" t="str">
        <f>"83970"</f>
        <v>83970</v>
      </c>
      <c r="B1019" s="1" t="s">
        <v>936</v>
      </c>
      <c r="C1019" s="2">
        <v>101.53</v>
      </c>
    </row>
    <row r="1020" spans="1:3" ht="11.25">
      <c r="A1020" s="1" t="str">
        <f>"83986"</f>
        <v>83986</v>
      </c>
      <c r="B1020" s="1" t="s">
        <v>133</v>
      </c>
      <c r="C1020" s="2">
        <v>6.74</v>
      </c>
    </row>
    <row r="1021" spans="1:3" ht="11.25">
      <c r="A1021" s="1" t="str">
        <f>"83992"</f>
        <v>83992</v>
      </c>
      <c r="B1021" s="1" t="s">
        <v>815</v>
      </c>
      <c r="C1021" s="2">
        <v>34.09</v>
      </c>
    </row>
    <row r="1022" spans="1:3" ht="11.25">
      <c r="A1022" s="1" t="str">
        <f>"83993"</f>
        <v>83993</v>
      </c>
      <c r="B1022" s="1" t="s">
        <v>694</v>
      </c>
      <c r="C1022" s="2">
        <v>31.85</v>
      </c>
    </row>
    <row r="1023" spans="1:3" ht="11.25">
      <c r="A1023" s="1" t="str">
        <f>"84022"</f>
        <v>84022</v>
      </c>
      <c r="B1023" s="1" t="s">
        <v>554</v>
      </c>
      <c r="C1023" s="2">
        <v>30.07</v>
      </c>
    </row>
    <row r="1024" spans="1:3" ht="11.25">
      <c r="A1024" s="1" t="str">
        <f>"84030"</f>
        <v>84030</v>
      </c>
      <c r="B1024" s="1" t="s">
        <v>1184</v>
      </c>
      <c r="C1024" s="2">
        <v>13.13</v>
      </c>
    </row>
    <row r="1025" spans="1:3" ht="11.25">
      <c r="A1025" s="1" t="str">
        <f>"84035"</f>
        <v>84035</v>
      </c>
      <c r="B1025" s="1" t="s">
        <v>1246</v>
      </c>
      <c r="C1025" s="2">
        <v>9.37</v>
      </c>
    </row>
    <row r="1026" spans="1:3" ht="11.25">
      <c r="A1026" s="1" t="str">
        <f>"84060"</f>
        <v>84060</v>
      </c>
      <c r="B1026" s="1" t="s">
        <v>1289</v>
      </c>
      <c r="C1026" s="2">
        <v>18.31</v>
      </c>
    </row>
    <row r="1027" spans="1:3" ht="11.25">
      <c r="A1027" s="1" t="str">
        <f>"84061"</f>
        <v>84061</v>
      </c>
      <c r="B1027" s="1" t="s">
        <v>10</v>
      </c>
      <c r="C1027" s="2">
        <v>18.18</v>
      </c>
    </row>
    <row r="1028" spans="1:3" ht="11.25">
      <c r="A1028" s="1" t="str">
        <f>"84066"</f>
        <v>84066</v>
      </c>
      <c r="B1028" s="1" t="s">
        <v>532</v>
      </c>
      <c r="C1028" s="2">
        <v>20.53</v>
      </c>
    </row>
    <row r="1029" spans="1:3" ht="11.25">
      <c r="A1029" s="1" t="str">
        <f>"84075"</f>
        <v>84075</v>
      </c>
      <c r="B1029" s="1" t="s">
        <v>1152</v>
      </c>
      <c r="C1029" s="2">
        <v>12.73</v>
      </c>
    </row>
    <row r="1030" spans="1:3" ht="11.25">
      <c r="A1030" s="1" t="str">
        <f>"84078"</f>
        <v>84078</v>
      </c>
      <c r="B1030" s="1" t="s">
        <v>777</v>
      </c>
      <c r="C1030" s="2">
        <v>12.26</v>
      </c>
    </row>
    <row r="1031" spans="1:3" ht="11.25">
      <c r="A1031" s="1" t="str">
        <f>"84080"</f>
        <v>84080</v>
      </c>
      <c r="B1031" s="1" t="s">
        <v>1507</v>
      </c>
      <c r="C1031" s="2">
        <v>36.39</v>
      </c>
    </row>
    <row r="1032" spans="1:3" ht="11.25">
      <c r="A1032" s="1" t="str">
        <f>"84081"</f>
        <v>84081</v>
      </c>
      <c r="B1032" s="1" t="s">
        <v>1135</v>
      </c>
      <c r="C1032" s="2">
        <v>40.64</v>
      </c>
    </row>
    <row r="1033" spans="1:3" ht="11.25">
      <c r="A1033" s="1" t="str">
        <f>"84085"</f>
        <v>84085</v>
      </c>
      <c r="B1033" s="1" t="s">
        <v>1260</v>
      </c>
      <c r="C1033" s="2">
        <v>16.31</v>
      </c>
    </row>
    <row r="1034" spans="1:3" ht="11.25">
      <c r="A1034" s="1" t="str">
        <f>"84087"</f>
        <v>84087</v>
      </c>
      <c r="B1034" s="1" t="s">
        <v>1717</v>
      </c>
      <c r="C1034" s="2">
        <v>25.4</v>
      </c>
    </row>
    <row r="1035" spans="1:3" ht="11.25">
      <c r="A1035" s="1" t="str">
        <f>"84100"</f>
        <v>84100</v>
      </c>
      <c r="B1035" s="1" t="s">
        <v>1573</v>
      </c>
      <c r="C1035" s="2">
        <v>11.65</v>
      </c>
    </row>
    <row r="1036" spans="1:3" ht="11.25">
      <c r="A1036" s="1" t="str">
        <f>"84105"</f>
        <v>84105</v>
      </c>
      <c r="B1036" s="1" t="s">
        <v>764</v>
      </c>
      <c r="C1036" s="2">
        <v>12.73</v>
      </c>
    </row>
    <row r="1037" spans="1:3" ht="11.25">
      <c r="A1037" s="1" t="str">
        <f>"84106"</f>
        <v>84106</v>
      </c>
      <c r="B1037" s="1" t="s">
        <v>435</v>
      </c>
      <c r="C1037" s="2">
        <v>10.52</v>
      </c>
    </row>
    <row r="1038" spans="1:3" ht="11.25">
      <c r="A1038" s="1" t="str">
        <f>"84110"</f>
        <v>84110</v>
      </c>
      <c r="B1038" s="1" t="s">
        <v>1036</v>
      </c>
      <c r="C1038" s="2">
        <v>8.25</v>
      </c>
    </row>
    <row r="1039" spans="1:3" ht="11.25">
      <c r="A1039" s="1" t="str">
        <f>"84119"</f>
        <v>84119</v>
      </c>
      <c r="B1039" s="1" t="s">
        <v>1173</v>
      </c>
      <c r="C1039" s="2">
        <v>21.17</v>
      </c>
    </row>
    <row r="1040" spans="1:3" ht="11.25">
      <c r="A1040" s="1" t="str">
        <f>"84120"</f>
        <v>84120</v>
      </c>
      <c r="B1040" s="1" t="s">
        <v>1234</v>
      </c>
      <c r="C1040" s="2">
        <v>36.2</v>
      </c>
    </row>
    <row r="1041" spans="1:3" ht="11.25">
      <c r="A1041" s="1" t="str">
        <f>"84126"</f>
        <v>84126</v>
      </c>
      <c r="B1041" s="1" t="s">
        <v>539</v>
      </c>
      <c r="C1041" s="2">
        <v>62.67</v>
      </c>
    </row>
    <row r="1042" spans="1:3" ht="11.25">
      <c r="A1042" s="1" t="str">
        <f>"84127"</f>
        <v>84127</v>
      </c>
      <c r="B1042" s="1" t="s">
        <v>944</v>
      </c>
      <c r="C1042" s="2">
        <v>18.44</v>
      </c>
    </row>
    <row r="1043" spans="1:3" ht="11.25">
      <c r="A1043" s="1" t="str">
        <f>"84132"</f>
        <v>84132</v>
      </c>
      <c r="B1043" s="1" t="s">
        <v>480</v>
      </c>
      <c r="C1043" s="2">
        <v>11.4</v>
      </c>
    </row>
    <row r="1044" spans="1:3" ht="11.25">
      <c r="A1044" s="1" t="str">
        <f>"84133"</f>
        <v>84133</v>
      </c>
      <c r="B1044" s="1" t="s">
        <v>1698</v>
      </c>
      <c r="C1044" s="2">
        <v>10.6</v>
      </c>
    </row>
    <row r="1045" spans="1:3" ht="11.25">
      <c r="A1045" s="1" t="str">
        <f>"84134"</f>
        <v>84134</v>
      </c>
      <c r="B1045" s="1" t="s">
        <v>1335</v>
      </c>
      <c r="C1045" s="2">
        <v>46.19</v>
      </c>
    </row>
    <row r="1046" spans="1:3" ht="11.25">
      <c r="A1046" s="1" t="str">
        <f>"84135"</f>
        <v>84135</v>
      </c>
      <c r="B1046" s="1" t="s">
        <v>1301</v>
      </c>
      <c r="C1046" s="2">
        <v>38.62</v>
      </c>
    </row>
    <row r="1047" spans="1:3" ht="11.25">
      <c r="A1047" s="1" t="str">
        <f>"84138"</f>
        <v>84138</v>
      </c>
      <c r="B1047" s="1" t="s">
        <v>111</v>
      </c>
      <c r="C1047" s="2">
        <v>30.76</v>
      </c>
    </row>
    <row r="1048" spans="1:3" ht="11.25">
      <c r="A1048" s="1" t="str">
        <f>"84140"</f>
        <v>84140</v>
      </c>
      <c r="B1048" s="1" t="s">
        <v>102</v>
      </c>
      <c r="C1048" s="2">
        <v>40.22</v>
      </c>
    </row>
    <row r="1049" spans="1:3" ht="11.25">
      <c r="A1049" s="1" t="str">
        <f>"84143"</f>
        <v>84143</v>
      </c>
      <c r="B1049" s="1" t="str">
        <f>"17-HYDROXYPREGNENOLONE                  "</f>
        <v>17-HYDROXYPREGNENOLONE                  </v>
      </c>
      <c r="C1049" s="2">
        <v>56.14</v>
      </c>
    </row>
    <row r="1050" spans="1:3" ht="11.25">
      <c r="A1050" s="1" t="str">
        <f>"84144"</f>
        <v>84144</v>
      </c>
      <c r="B1050" s="1" t="s">
        <v>948</v>
      </c>
      <c r="C1050" s="2">
        <v>50.18</v>
      </c>
    </row>
    <row r="1051" spans="1:3" ht="11.25">
      <c r="A1051" s="1" t="str">
        <f>"84146"</f>
        <v>84146</v>
      </c>
      <c r="B1051" s="1" t="s">
        <v>1634</v>
      </c>
      <c r="C1051" s="2">
        <v>47.66</v>
      </c>
    </row>
    <row r="1052" spans="1:3" ht="11.25">
      <c r="A1052" s="1" t="str">
        <f>"84150"</f>
        <v>84150</v>
      </c>
      <c r="B1052" s="1" t="s">
        <v>757</v>
      </c>
      <c r="C1052" s="2">
        <v>8.25</v>
      </c>
    </row>
    <row r="1053" spans="1:3" ht="11.25">
      <c r="A1053" s="1" t="str">
        <f>"84152"</f>
        <v>84152</v>
      </c>
      <c r="B1053" s="1" t="s">
        <v>1230</v>
      </c>
      <c r="C1053" s="2">
        <v>44.19</v>
      </c>
    </row>
    <row r="1054" spans="1:3" ht="11.25">
      <c r="A1054" s="1" t="str">
        <f>"84153"</f>
        <v>84153</v>
      </c>
      <c r="B1054" s="1" t="s">
        <v>873</v>
      </c>
      <c r="C1054" s="2">
        <v>45.25</v>
      </c>
    </row>
    <row r="1055" spans="1:3" ht="11.25">
      <c r="A1055" s="1" t="str">
        <f>"84154"</f>
        <v>84154</v>
      </c>
      <c r="B1055" s="1" t="s">
        <v>470</v>
      </c>
      <c r="C1055" s="2">
        <v>44.19</v>
      </c>
    </row>
    <row r="1056" spans="1:3" ht="11.25">
      <c r="A1056" s="1" t="str">
        <f>"84155"</f>
        <v>84155</v>
      </c>
      <c r="B1056" s="1" t="s">
        <v>1177</v>
      </c>
      <c r="C1056" s="2">
        <v>9</v>
      </c>
    </row>
    <row r="1057" spans="1:3" ht="11.25">
      <c r="A1057" s="1" t="str">
        <f>"84156"</f>
        <v>84156</v>
      </c>
      <c r="B1057" s="1" t="s">
        <v>719</v>
      </c>
      <c r="C1057" s="2">
        <v>8.9</v>
      </c>
    </row>
    <row r="1058" spans="1:3" ht="11.25">
      <c r="A1058" s="1" t="str">
        <f>"84157"</f>
        <v>84157</v>
      </c>
      <c r="B1058" s="1" t="s">
        <v>999</v>
      </c>
      <c r="C1058" s="2">
        <v>8.9</v>
      </c>
    </row>
    <row r="1059" spans="1:3" ht="11.25">
      <c r="A1059" s="1" t="str">
        <f>"84160"</f>
        <v>84160</v>
      </c>
      <c r="B1059" s="1" t="s">
        <v>730</v>
      </c>
      <c r="C1059" s="2">
        <v>8.25</v>
      </c>
    </row>
    <row r="1060" spans="1:3" ht="11.25">
      <c r="A1060" s="1" t="str">
        <f>"84165"</f>
        <v>84165</v>
      </c>
      <c r="B1060" s="1" t="s">
        <v>616</v>
      </c>
      <c r="C1060" s="2">
        <v>26.45</v>
      </c>
    </row>
    <row r="1061" spans="1:3" ht="11.25">
      <c r="A1061" s="1" t="str">
        <f>"84166"</f>
        <v>84166</v>
      </c>
      <c r="B1061" s="1" t="s">
        <v>230</v>
      </c>
      <c r="C1061" s="2">
        <v>45.67</v>
      </c>
    </row>
    <row r="1062" spans="1:3" ht="11.25">
      <c r="A1062" s="1" t="str">
        <f>"84181"</f>
        <v>84181</v>
      </c>
      <c r="B1062" s="1" t="s">
        <v>1547</v>
      </c>
      <c r="C1062" s="2">
        <v>67.5</v>
      </c>
    </row>
    <row r="1063" spans="1:3" ht="11.25">
      <c r="A1063" s="1" t="str">
        <f>"84182"</f>
        <v>84182</v>
      </c>
      <c r="B1063" s="1" t="s">
        <v>1119</v>
      </c>
      <c r="C1063" s="2">
        <v>67.5</v>
      </c>
    </row>
    <row r="1064" spans="1:3" ht="11.25">
      <c r="A1064" s="1" t="str">
        <f>"84202"</f>
        <v>84202</v>
      </c>
      <c r="B1064" s="1" t="s">
        <v>1310</v>
      </c>
      <c r="C1064" s="2">
        <v>35.21</v>
      </c>
    </row>
    <row r="1065" spans="1:3" ht="11.25">
      <c r="A1065" s="1" t="str">
        <f>"84203"</f>
        <v>84203</v>
      </c>
      <c r="B1065" s="1" t="s">
        <v>1481</v>
      </c>
      <c r="C1065" s="2">
        <v>16.31</v>
      </c>
    </row>
    <row r="1066" spans="1:3" ht="11.25">
      <c r="A1066" s="1" t="str">
        <f>"84206"</f>
        <v>84206</v>
      </c>
      <c r="B1066" s="1" t="s">
        <v>1617</v>
      </c>
      <c r="C1066" s="2">
        <v>43.84</v>
      </c>
    </row>
    <row r="1067" spans="1:3" ht="11.25">
      <c r="A1067" s="1" t="str">
        <f>"84207"</f>
        <v>84207</v>
      </c>
      <c r="B1067" s="1" t="s">
        <v>1171</v>
      </c>
      <c r="C1067" s="2">
        <v>69.12</v>
      </c>
    </row>
    <row r="1068" spans="1:3" ht="11.25">
      <c r="A1068" s="1" t="str">
        <f>"84210"</f>
        <v>84210</v>
      </c>
      <c r="B1068" s="1" t="s">
        <v>1638</v>
      </c>
      <c r="C1068" s="2">
        <v>20.53</v>
      </c>
    </row>
    <row r="1069" spans="1:3" ht="11.25">
      <c r="A1069" s="1" t="str">
        <f>"84220"</f>
        <v>84220</v>
      </c>
      <c r="B1069" s="1" t="s">
        <v>1455</v>
      </c>
      <c r="C1069" s="2">
        <v>20.53</v>
      </c>
    </row>
    <row r="1070" spans="1:3" ht="11.25">
      <c r="A1070" s="1" t="str">
        <f>"84228"</f>
        <v>84228</v>
      </c>
      <c r="B1070" s="1" t="s">
        <v>812</v>
      </c>
      <c r="C1070" s="2">
        <v>27.32</v>
      </c>
    </row>
    <row r="1071" spans="1:3" ht="11.25">
      <c r="A1071" s="1" t="str">
        <f>"84233"</f>
        <v>84233</v>
      </c>
      <c r="B1071" s="1" t="s">
        <v>653</v>
      </c>
      <c r="C1071" s="2">
        <v>135.62</v>
      </c>
    </row>
    <row r="1072" spans="1:3" ht="11.25">
      <c r="A1072" s="1" t="str">
        <f>"84234"</f>
        <v>84234</v>
      </c>
      <c r="B1072" s="1" t="s">
        <v>0</v>
      </c>
      <c r="C1072" s="2">
        <v>132.47</v>
      </c>
    </row>
    <row r="1073" spans="1:3" ht="11.25">
      <c r="A1073" s="1" t="str">
        <f>"84235"</f>
        <v>84235</v>
      </c>
      <c r="B1073" s="1" t="str">
        <f>" ASSAY ENDOCRINE OTH THN ESTRO/PROGESTER"</f>
        <v> ASSAY ENDOCRINE OTH THN ESTRO/PROGESTER</v>
      </c>
      <c r="C1073" s="2">
        <v>128.74</v>
      </c>
    </row>
    <row r="1074" spans="1:3" ht="11.25">
      <c r="A1074" s="1" t="str">
        <f>"84238"</f>
        <v>84238</v>
      </c>
      <c r="B1074" s="1" t="s">
        <v>26</v>
      </c>
      <c r="C1074" s="2">
        <v>89.95</v>
      </c>
    </row>
    <row r="1075" spans="1:3" ht="11.25">
      <c r="A1075" s="1" t="str">
        <f>"84244"</f>
        <v>84244</v>
      </c>
      <c r="B1075" s="1" t="s">
        <v>1686</v>
      </c>
      <c r="C1075" s="2">
        <v>54.13</v>
      </c>
    </row>
    <row r="1076" spans="1:3" ht="11.25">
      <c r="A1076" s="1" t="str">
        <f>"84252"</f>
        <v>84252</v>
      </c>
      <c r="B1076" s="1" t="s">
        <v>943</v>
      </c>
      <c r="C1076" s="2">
        <v>6.74</v>
      </c>
    </row>
    <row r="1077" spans="1:3" ht="11.25">
      <c r="A1077" s="1" t="str">
        <f>"84255"</f>
        <v>84255</v>
      </c>
      <c r="B1077" s="1" t="s">
        <v>780</v>
      </c>
      <c r="C1077" s="2">
        <v>62.82</v>
      </c>
    </row>
    <row r="1078" spans="1:3" ht="11.25">
      <c r="A1078" s="1" t="str">
        <f>"84260"</f>
        <v>84260</v>
      </c>
      <c r="B1078" s="1" t="s">
        <v>1142</v>
      </c>
      <c r="C1078" s="2">
        <v>54.53</v>
      </c>
    </row>
    <row r="1079" spans="1:3" ht="11.25">
      <c r="A1079" s="1" t="str">
        <f>"84270"</f>
        <v>84270</v>
      </c>
      <c r="B1079" s="1" t="s">
        <v>311</v>
      </c>
      <c r="C1079" s="2">
        <v>53.44</v>
      </c>
    </row>
    <row r="1080" spans="1:3" ht="11.25">
      <c r="A1080" s="1" t="str">
        <f>"84275"</f>
        <v>84275</v>
      </c>
      <c r="B1080" s="1" t="s">
        <v>1416</v>
      </c>
      <c r="C1080" s="2">
        <v>33.03</v>
      </c>
    </row>
    <row r="1081" spans="1:3" ht="11.25">
      <c r="A1081" s="1" t="str">
        <f>"84285"</f>
        <v>84285</v>
      </c>
      <c r="B1081" s="1" t="s">
        <v>1075</v>
      </c>
      <c r="C1081" s="2">
        <v>57.93</v>
      </c>
    </row>
    <row r="1082" spans="1:3" ht="11.25">
      <c r="A1082" s="1" t="str">
        <f>"84295"</f>
        <v>84295</v>
      </c>
      <c r="B1082" s="1" t="s">
        <v>724</v>
      </c>
      <c r="C1082" s="2">
        <v>10.6</v>
      </c>
    </row>
    <row r="1083" spans="1:3" ht="11.25">
      <c r="A1083" s="1" t="str">
        <f>"84300"</f>
        <v>84300</v>
      </c>
      <c r="B1083" s="1" t="s">
        <v>464</v>
      </c>
      <c r="C1083" s="2">
        <v>11.86</v>
      </c>
    </row>
    <row r="1084" spans="1:3" ht="11.25">
      <c r="A1084" s="1" t="str">
        <f>"84302"</f>
        <v>84302</v>
      </c>
      <c r="B1084" s="1" t="s">
        <v>351</v>
      </c>
      <c r="C1084" s="2">
        <v>11.8</v>
      </c>
    </row>
    <row r="1085" spans="1:3" ht="11.25">
      <c r="A1085" s="1" t="str">
        <f>"84305"</f>
        <v>84305</v>
      </c>
      <c r="B1085" s="1" t="s">
        <v>457</v>
      </c>
      <c r="C1085" s="2">
        <v>109.45</v>
      </c>
    </row>
    <row r="1086" spans="1:3" ht="11.25">
      <c r="A1086" s="1" t="str">
        <f>"84307"</f>
        <v>84307</v>
      </c>
      <c r="B1086" s="1" t="s">
        <v>781</v>
      </c>
      <c r="C1086" s="2">
        <v>87.01</v>
      </c>
    </row>
    <row r="1087" spans="1:3" ht="11.25">
      <c r="A1087" s="1" t="str">
        <f>"84311"</f>
        <v>84311</v>
      </c>
      <c r="B1087" s="1" t="s">
        <v>1133</v>
      </c>
      <c r="C1087" s="2">
        <v>17.22</v>
      </c>
    </row>
    <row r="1088" spans="1:3" ht="11.25">
      <c r="A1088" s="1" t="str">
        <f>"84315"</f>
        <v>84315</v>
      </c>
      <c r="B1088" s="1" t="s">
        <v>1694</v>
      </c>
      <c r="C1088" s="2">
        <v>6.18</v>
      </c>
    </row>
    <row r="1089" spans="1:3" ht="11.25">
      <c r="A1089" s="1" t="str">
        <f>"84375"</f>
        <v>84375</v>
      </c>
      <c r="B1089" s="1" t="s">
        <v>1611</v>
      </c>
      <c r="C1089" s="2">
        <v>13.13</v>
      </c>
    </row>
    <row r="1090" spans="1:3" ht="11.25">
      <c r="A1090" s="1" t="str">
        <f>"84376"</f>
        <v>84376</v>
      </c>
      <c r="B1090" s="1" t="s">
        <v>21</v>
      </c>
      <c r="C1090" s="2">
        <v>13.23</v>
      </c>
    </row>
    <row r="1091" spans="1:3" ht="11.25">
      <c r="A1091" s="1" t="str">
        <f>"84377"</f>
        <v>84377</v>
      </c>
      <c r="B1091" s="1" t="s">
        <v>450</v>
      </c>
      <c r="C1091" s="2">
        <v>13.23</v>
      </c>
    </row>
    <row r="1092" spans="1:3" ht="11.25">
      <c r="A1092" s="1" t="str">
        <f>"84378"</f>
        <v>84378</v>
      </c>
      <c r="B1092" s="1" t="s">
        <v>515</v>
      </c>
      <c r="C1092" s="2">
        <v>27.67</v>
      </c>
    </row>
    <row r="1093" spans="1:3" ht="11.25">
      <c r="A1093" s="1" t="str">
        <f>"84392"</f>
        <v>84392</v>
      </c>
      <c r="B1093" s="1" t="s">
        <v>1044</v>
      </c>
      <c r="C1093" s="2">
        <v>11.67</v>
      </c>
    </row>
    <row r="1094" spans="1:3" ht="11.25">
      <c r="A1094" s="1" t="str">
        <f>"84402"</f>
        <v>84402</v>
      </c>
      <c r="B1094" s="1" t="s">
        <v>1513</v>
      </c>
      <c r="C1094" s="2">
        <v>122.32</v>
      </c>
    </row>
    <row r="1095" spans="1:3" ht="11.25">
      <c r="A1095" s="1" t="str">
        <f>"84403"</f>
        <v>84403</v>
      </c>
      <c r="B1095" s="1" t="s">
        <v>819</v>
      </c>
      <c r="C1095" s="2">
        <v>63.5</v>
      </c>
    </row>
    <row r="1096" spans="1:3" ht="11.25">
      <c r="A1096" s="1" t="str">
        <f>"84425"</f>
        <v>84425</v>
      </c>
      <c r="B1096" s="1" t="s">
        <v>216</v>
      </c>
      <c r="C1096" s="2">
        <v>50.41</v>
      </c>
    </row>
    <row r="1097" spans="1:3" ht="11.25">
      <c r="A1097" s="1" t="str">
        <f>"84430"</f>
        <v>84430</v>
      </c>
      <c r="B1097" s="1" t="s">
        <v>304</v>
      </c>
      <c r="C1097" s="2">
        <v>13.98</v>
      </c>
    </row>
    <row r="1098" spans="1:3" ht="11.25">
      <c r="A1098" s="1" t="str">
        <f>"84432"</f>
        <v>84432</v>
      </c>
      <c r="B1098" s="1" t="s">
        <v>557</v>
      </c>
      <c r="C1098" s="2">
        <v>61.71</v>
      </c>
    </row>
    <row r="1099" spans="1:3" ht="11.25">
      <c r="A1099" s="1" t="str">
        <f>"84436"</f>
        <v>84436</v>
      </c>
      <c r="B1099" s="1" t="s">
        <v>677</v>
      </c>
      <c r="C1099" s="2">
        <v>16.92</v>
      </c>
    </row>
    <row r="1100" spans="1:3" ht="11.25">
      <c r="A1100" s="1" t="str">
        <f>"84437"</f>
        <v>84437</v>
      </c>
      <c r="B1100" s="1" t="s">
        <v>1247</v>
      </c>
      <c r="C1100" s="2">
        <v>10.81</v>
      </c>
    </row>
    <row r="1101" spans="1:3" ht="11.25">
      <c r="A1101" s="1" t="str">
        <f>"84439"</f>
        <v>84439</v>
      </c>
      <c r="B1101" s="1" t="s">
        <v>1604</v>
      </c>
      <c r="C1101" s="2">
        <v>13.98</v>
      </c>
    </row>
    <row r="1102" spans="1:3" ht="11.25">
      <c r="A1102" s="1" t="str">
        <f>"84442"</f>
        <v>84442</v>
      </c>
      <c r="B1102" s="1" t="s">
        <v>523</v>
      </c>
      <c r="C1102" s="2">
        <v>29.01</v>
      </c>
    </row>
    <row r="1103" spans="1:3" ht="11.25">
      <c r="A1103" s="1" t="str">
        <f>"84443"</f>
        <v>84443</v>
      </c>
      <c r="B1103" s="1" t="s">
        <v>222</v>
      </c>
      <c r="C1103" s="2">
        <v>41.34</v>
      </c>
    </row>
    <row r="1104" spans="1:3" ht="11.25">
      <c r="A1104" s="1" t="str">
        <f>"84445"</f>
        <v>84445</v>
      </c>
      <c r="B1104" s="1" t="s">
        <v>1421</v>
      </c>
      <c r="C1104" s="2">
        <v>108.95</v>
      </c>
    </row>
    <row r="1105" spans="1:3" ht="11.25">
      <c r="A1105" s="1" t="str">
        <f>"84446"</f>
        <v>84446</v>
      </c>
      <c r="B1105" s="1" t="s">
        <v>910</v>
      </c>
      <c r="C1105" s="2">
        <v>34.09</v>
      </c>
    </row>
    <row r="1106" spans="1:3" ht="11.25">
      <c r="A1106" s="1" t="str">
        <f>"84449"</f>
        <v>84449</v>
      </c>
      <c r="B1106" s="1" t="s">
        <v>600</v>
      </c>
      <c r="C1106" s="2">
        <v>44.49</v>
      </c>
    </row>
    <row r="1107" spans="1:3" ht="11.25">
      <c r="A1107" s="1" t="str">
        <f>"84450"</f>
        <v>84450</v>
      </c>
      <c r="B1107" s="1" t="s">
        <v>1626</v>
      </c>
      <c r="C1107" s="2">
        <v>11.65</v>
      </c>
    </row>
    <row r="1108" spans="1:3" ht="11.25">
      <c r="A1108" s="1" t="str">
        <f>"84460"</f>
        <v>84460</v>
      </c>
      <c r="B1108" s="1" t="s">
        <v>386</v>
      </c>
      <c r="C1108" s="2">
        <v>12.78</v>
      </c>
    </row>
    <row r="1109" spans="1:3" ht="11.25">
      <c r="A1109" s="1" t="str">
        <f>"84466"</f>
        <v>84466</v>
      </c>
      <c r="B1109" s="1" t="s">
        <v>83</v>
      </c>
      <c r="C1109" s="2">
        <v>33.97</v>
      </c>
    </row>
    <row r="1110" spans="1:3" ht="11.25">
      <c r="A1110" s="1" t="str">
        <f>"84478"</f>
        <v>84478</v>
      </c>
      <c r="B1110" s="1" t="s">
        <v>565</v>
      </c>
      <c r="C1110" s="2">
        <v>14.07</v>
      </c>
    </row>
    <row r="1111" spans="1:3" ht="11.25">
      <c r="A1111" s="1" t="str">
        <f>"84479"</f>
        <v>84479</v>
      </c>
      <c r="B1111" s="1" t="s">
        <v>675</v>
      </c>
      <c r="C1111" s="2">
        <v>15.93</v>
      </c>
    </row>
    <row r="1112" spans="1:3" ht="11.25">
      <c r="A1112" s="1" t="str">
        <f>"84480"</f>
        <v>84480</v>
      </c>
      <c r="B1112" s="1" t="s">
        <v>1480</v>
      </c>
      <c r="C1112" s="2">
        <v>34.86</v>
      </c>
    </row>
    <row r="1113" spans="1:3" ht="11.25">
      <c r="A1113" s="1" t="str">
        <f>"84481"</f>
        <v>84481</v>
      </c>
      <c r="B1113" s="1" t="s">
        <v>1355</v>
      </c>
      <c r="C1113" s="2">
        <v>41.7</v>
      </c>
    </row>
    <row r="1114" spans="1:3" ht="11.25">
      <c r="A1114" s="1" t="str">
        <f>"84482"</f>
        <v>84482</v>
      </c>
      <c r="B1114" s="1" t="s">
        <v>456</v>
      </c>
      <c r="C1114" s="2">
        <v>96.35</v>
      </c>
    </row>
    <row r="1115" spans="1:3" ht="11.25">
      <c r="A1115" s="1" t="str">
        <f>"84484"</f>
        <v>84484</v>
      </c>
      <c r="B1115" s="1" t="s">
        <v>177</v>
      </c>
      <c r="C1115" s="2">
        <v>28.49</v>
      </c>
    </row>
    <row r="1116" spans="1:3" ht="11.25">
      <c r="A1116" s="1" t="str">
        <f>"84485"</f>
        <v>84485</v>
      </c>
      <c r="B1116" s="1" t="s">
        <v>1727</v>
      </c>
      <c r="C1116" s="2">
        <v>18.46</v>
      </c>
    </row>
    <row r="1117" spans="1:3" ht="11.25">
      <c r="A1117" s="1" t="str">
        <f>"84488"</f>
        <v>84488</v>
      </c>
      <c r="B1117" s="1" t="s">
        <v>1651</v>
      </c>
      <c r="C1117" s="2">
        <v>13.56</v>
      </c>
    </row>
    <row r="1118" spans="1:3" ht="11.25">
      <c r="A1118" s="1" t="str">
        <f>"84490"</f>
        <v>84490</v>
      </c>
      <c r="B1118" s="1" t="s">
        <v>1103</v>
      </c>
      <c r="C1118" s="2">
        <v>13.56</v>
      </c>
    </row>
    <row r="1119" spans="1:3" ht="11.25">
      <c r="A1119" s="1" t="str">
        <f>"84510"</f>
        <v>84510</v>
      </c>
      <c r="B1119" s="1" t="s">
        <v>388</v>
      </c>
      <c r="C1119" s="2">
        <v>13.56</v>
      </c>
    </row>
    <row r="1120" spans="1:3" ht="11.25">
      <c r="A1120" s="1" t="str">
        <f>"84512"</f>
        <v>84512</v>
      </c>
      <c r="B1120" s="1" t="s">
        <v>474</v>
      </c>
      <c r="C1120" s="2">
        <v>54.34</v>
      </c>
    </row>
    <row r="1121" spans="1:3" ht="11.25">
      <c r="A1121" s="1" t="str">
        <f>"84520"</f>
        <v>84520</v>
      </c>
      <c r="B1121" s="1" t="s">
        <v>1216</v>
      </c>
      <c r="C1121" s="2">
        <v>9.7</v>
      </c>
    </row>
    <row r="1122" spans="1:3" ht="11.25">
      <c r="A1122" s="1" t="str">
        <f>"84525"</f>
        <v>84525</v>
      </c>
      <c r="B1122" s="1" t="s">
        <v>1475</v>
      </c>
      <c r="C1122" s="2">
        <v>5.5</v>
      </c>
    </row>
    <row r="1123" spans="1:3" ht="11.25">
      <c r="A1123" s="1" t="str">
        <f>"84540"</f>
        <v>84540</v>
      </c>
      <c r="B1123" s="1" t="s">
        <v>1659</v>
      </c>
      <c r="C1123" s="2">
        <v>11.67</v>
      </c>
    </row>
    <row r="1124" spans="1:3" ht="11.25">
      <c r="A1124" s="1" t="str">
        <f>"84545"</f>
        <v>84545</v>
      </c>
      <c r="B1124" s="1" t="s">
        <v>1175</v>
      </c>
      <c r="C1124" s="2">
        <v>13.13</v>
      </c>
    </row>
    <row r="1125" spans="1:3" ht="11.25">
      <c r="A1125" s="1" t="str">
        <f>"84550"</f>
        <v>84550</v>
      </c>
      <c r="B1125" s="1" t="s">
        <v>1137</v>
      </c>
      <c r="C1125" s="2">
        <v>11.13</v>
      </c>
    </row>
    <row r="1126" spans="1:3" ht="11.25">
      <c r="A1126" s="1" t="str">
        <f>"84560"</f>
        <v>84560</v>
      </c>
      <c r="B1126" s="1" t="s">
        <v>1028</v>
      </c>
      <c r="C1126" s="2">
        <v>11.67</v>
      </c>
    </row>
    <row r="1127" spans="1:3" ht="11.25">
      <c r="A1127" s="1" t="str">
        <f>"84577"</f>
        <v>84577</v>
      </c>
      <c r="B1127" s="1" t="s">
        <v>233</v>
      </c>
      <c r="C1127" s="2">
        <v>30.7</v>
      </c>
    </row>
    <row r="1128" spans="1:3" ht="11.25">
      <c r="A1128" s="1" t="str">
        <f>"84578"</f>
        <v>84578</v>
      </c>
      <c r="B1128" s="1" t="s">
        <v>552</v>
      </c>
      <c r="C1128" s="2">
        <v>6.74</v>
      </c>
    </row>
    <row r="1129" spans="1:3" ht="11.25">
      <c r="A1129" s="1" t="str">
        <f>"84580"</f>
        <v>84580</v>
      </c>
      <c r="B1129" s="1" t="s">
        <v>286</v>
      </c>
      <c r="C1129" s="2">
        <v>13.56</v>
      </c>
    </row>
    <row r="1130" spans="1:3" ht="11.25">
      <c r="A1130" s="1" t="str">
        <f>"84583"</f>
        <v>84583</v>
      </c>
      <c r="B1130" s="1" t="s">
        <v>147</v>
      </c>
      <c r="C1130" s="2">
        <v>12.36</v>
      </c>
    </row>
    <row r="1131" spans="1:3" ht="11.25">
      <c r="A1131" s="1" t="str">
        <f>"84585"</f>
        <v>84585</v>
      </c>
      <c r="B1131" s="1" t="s">
        <v>703</v>
      </c>
      <c r="C1131" s="2">
        <v>38.15</v>
      </c>
    </row>
    <row r="1132" spans="1:3" ht="11.25">
      <c r="A1132" s="1" t="str">
        <f>"84586"</f>
        <v>84586</v>
      </c>
      <c r="B1132" s="1" t="s">
        <v>1149</v>
      </c>
      <c r="C1132" s="2">
        <v>33.93</v>
      </c>
    </row>
    <row r="1133" spans="1:3" ht="11.25">
      <c r="A1133" s="1" t="str">
        <f>"84588"</f>
        <v>84588</v>
      </c>
      <c r="B1133" s="1" t="s">
        <v>200</v>
      </c>
      <c r="C1133" s="2">
        <v>83.5</v>
      </c>
    </row>
    <row r="1134" spans="1:3" ht="11.25">
      <c r="A1134" s="1" t="str">
        <f>"84590"</f>
        <v>84590</v>
      </c>
      <c r="B1134" s="1" t="s">
        <v>951</v>
      </c>
      <c r="C1134" s="2">
        <v>25.58</v>
      </c>
    </row>
    <row r="1135" spans="1:3" ht="11.25">
      <c r="A1135" s="1" t="str">
        <f>"84591"</f>
        <v>84591</v>
      </c>
      <c r="B1135" s="1" t="s">
        <v>1145</v>
      </c>
      <c r="C1135" s="2">
        <v>27.02</v>
      </c>
    </row>
    <row r="1136" spans="1:3" ht="11.25">
      <c r="A1136" s="1" t="str">
        <f>"84597"</f>
        <v>84597</v>
      </c>
      <c r="B1136" s="1" t="s">
        <v>1442</v>
      </c>
      <c r="C1136" s="2">
        <v>33.74</v>
      </c>
    </row>
    <row r="1137" spans="1:3" ht="11.25">
      <c r="A1137" s="1" t="str">
        <f>"84600"</f>
        <v>84600</v>
      </c>
      <c r="B1137" s="1" t="s">
        <v>1011</v>
      </c>
      <c r="C1137" s="2">
        <v>39.54</v>
      </c>
    </row>
    <row r="1138" spans="1:3" ht="11.25">
      <c r="A1138" s="1" t="str">
        <f>"84620"</f>
        <v>84620</v>
      </c>
      <c r="B1138" s="1" t="s">
        <v>139</v>
      </c>
      <c r="C1138" s="2">
        <v>27.32</v>
      </c>
    </row>
    <row r="1139" spans="1:3" ht="11.25">
      <c r="A1139" s="1" t="str">
        <f>"84630"</f>
        <v>84630</v>
      </c>
      <c r="B1139" s="1" t="s">
        <v>156</v>
      </c>
      <c r="C1139" s="2">
        <v>12.95</v>
      </c>
    </row>
    <row r="1140" spans="1:3" ht="11.25">
      <c r="A1140" s="1" t="str">
        <f>"84681"</f>
        <v>84681</v>
      </c>
      <c r="B1140" s="1" t="s">
        <v>1228</v>
      </c>
      <c r="C1140" s="2">
        <v>47.9</v>
      </c>
    </row>
    <row r="1141" spans="1:3" ht="11.25">
      <c r="A1141" s="1" t="str">
        <f>"84702"</f>
        <v>84702</v>
      </c>
      <c r="B1141" s="1" t="s">
        <v>1241</v>
      </c>
      <c r="C1141" s="2">
        <v>23.16</v>
      </c>
    </row>
    <row r="1142" spans="1:3" ht="11.25">
      <c r="A1142" s="1" t="str">
        <f>"84703"</f>
        <v>84703</v>
      </c>
      <c r="B1142" s="1" t="s">
        <v>205</v>
      </c>
      <c r="C1142" s="2">
        <v>18.49</v>
      </c>
    </row>
    <row r="1143" spans="1:3" ht="11.25">
      <c r="A1143" s="1" t="str">
        <f>"84704"</f>
        <v>84704</v>
      </c>
      <c r="B1143" s="1" t="s">
        <v>384</v>
      </c>
      <c r="C1143" s="2">
        <v>23.16</v>
      </c>
    </row>
    <row r="1144" spans="1:3" ht="11.25">
      <c r="A1144" s="1" t="str">
        <f>"84999"</f>
        <v>84999</v>
      </c>
      <c r="B1144" s="1" t="s">
        <v>1110</v>
      </c>
      <c r="C1144" s="2">
        <v>17.51</v>
      </c>
    </row>
    <row r="1145" spans="1:3" ht="11.25">
      <c r="A1145" s="1" t="str">
        <f>"85002"</f>
        <v>85002</v>
      </c>
      <c r="B1145" s="1" t="s">
        <v>336</v>
      </c>
      <c r="C1145" s="2">
        <v>11.09</v>
      </c>
    </row>
    <row r="1146" spans="1:3" ht="11.25">
      <c r="A1146" s="1" t="str">
        <f>"85004"</f>
        <v>85004</v>
      </c>
      <c r="B1146" s="1" t="s">
        <v>1213</v>
      </c>
      <c r="C1146" s="2">
        <v>14.47</v>
      </c>
    </row>
    <row r="1147" spans="1:3" ht="11.25">
      <c r="A1147" s="1" t="str">
        <f>"85007"</f>
        <v>85007</v>
      </c>
      <c r="B1147" s="1" t="s">
        <v>79</v>
      </c>
      <c r="C1147" s="2">
        <v>8.46</v>
      </c>
    </row>
    <row r="1148" spans="1:3" ht="11.25">
      <c r="A1148" s="1" t="str">
        <f>"85008"</f>
        <v>85008</v>
      </c>
      <c r="B1148" s="1" t="s">
        <v>1255</v>
      </c>
      <c r="C1148" s="2">
        <v>8.46</v>
      </c>
    </row>
    <row r="1149" spans="1:3" ht="11.25">
      <c r="A1149" s="1" t="str">
        <f>"85009"</f>
        <v>85009</v>
      </c>
      <c r="B1149" s="1" t="s">
        <v>620</v>
      </c>
      <c r="C1149" s="2">
        <v>7.85</v>
      </c>
    </row>
    <row r="1150" spans="1:3" ht="11.25">
      <c r="A1150" s="1" t="str">
        <f>"85013"</f>
        <v>85013</v>
      </c>
      <c r="B1150" s="1" t="s">
        <v>406</v>
      </c>
      <c r="C1150" s="2">
        <v>5.8</v>
      </c>
    </row>
    <row r="1151" spans="1:3" ht="11.25">
      <c r="A1151" s="1" t="str">
        <f>"85014"</f>
        <v>85014</v>
      </c>
      <c r="B1151" s="1" t="s">
        <v>678</v>
      </c>
      <c r="C1151" s="2">
        <v>5.8</v>
      </c>
    </row>
    <row r="1152" spans="1:3" ht="11.25">
      <c r="A1152" s="1" t="str">
        <f>"85018"</f>
        <v>85018</v>
      </c>
      <c r="B1152" s="1" t="s">
        <v>987</v>
      </c>
      <c r="C1152" s="2">
        <v>5.8</v>
      </c>
    </row>
    <row r="1153" spans="1:3" ht="11.25">
      <c r="A1153" s="1" t="str">
        <f>"85025"</f>
        <v>85025</v>
      </c>
      <c r="B1153" s="1" t="s">
        <v>524</v>
      </c>
      <c r="C1153" s="2">
        <v>16.89</v>
      </c>
    </row>
    <row r="1154" spans="1:3" ht="11.25">
      <c r="A1154" s="1" t="str">
        <f>"85027"</f>
        <v>85027</v>
      </c>
      <c r="B1154" s="1" t="s">
        <v>475</v>
      </c>
      <c r="C1154" s="2">
        <v>13.56</v>
      </c>
    </row>
    <row r="1155" spans="1:3" ht="11.25">
      <c r="A1155" s="1" t="str">
        <f>"85032"</f>
        <v>85032</v>
      </c>
      <c r="B1155" s="1" t="s">
        <v>379</v>
      </c>
      <c r="C1155" s="2">
        <v>10.46</v>
      </c>
    </row>
    <row r="1156" spans="1:3" ht="11.25">
      <c r="A1156" s="1" t="str">
        <f>"85041"</f>
        <v>85041</v>
      </c>
      <c r="B1156" s="1" t="s">
        <v>1662</v>
      </c>
      <c r="C1156" s="2">
        <v>6.55</v>
      </c>
    </row>
    <row r="1157" spans="1:3" ht="11.25">
      <c r="A1157" s="1" t="str">
        <f>"85044"</f>
        <v>85044</v>
      </c>
      <c r="B1157" s="1" t="s">
        <v>86</v>
      </c>
      <c r="C1157" s="2">
        <v>10.6</v>
      </c>
    </row>
    <row r="1158" spans="1:3" ht="11.25">
      <c r="A1158" s="1" t="str">
        <f>"85045"</f>
        <v>85045</v>
      </c>
      <c r="B1158" s="1" t="s">
        <v>243</v>
      </c>
      <c r="C1158" s="2">
        <v>9.85</v>
      </c>
    </row>
    <row r="1159" spans="1:3" ht="11.25">
      <c r="A1159" s="1" t="str">
        <f>"85046"</f>
        <v>85046</v>
      </c>
      <c r="B1159" s="1" t="s">
        <v>986</v>
      </c>
      <c r="C1159" s="2">
        <v>13.42</v>
      </c>
    </row>
    <row r="1160" spans="1:3" ht="11.25">
      <c r="A1160" s="1" t="str">
        <f>"85048"</f>
        <v>85048</v>
      </c>
      <c r="B1160" s="1" t="s">
        <v>374</v>
      </c>
      <c r="C1160" s="2">
        <v>6.06</v>
      </c>
    </row>
    <row r="1161" spans="1:3" ht="11.25">
      <c r="A1161" s="1" t="str">
        <f>"85049"</f>
        <v>85049</v>
      </c>
      <c r="B1161" s="1" t="s">
        <v>62</v>
      </c>
      <c r="C1161" s="2">
        <v>10.88</v>
      </c>
    </row>
    <row r="1162" spans="1:3" ht="11.25">
      <c r="A1162" s="1" t="str">
        <f>"85055"</f>
        <v>85055</v>
      </c>
      <c r="B1162" s="1" t="s">
        <v>1549</v>
      </c>
      <c r="C1162" s="2">
        <v>65.02</v>
      </c>
    </row>
    <row r="1163" spans="1:3" ht="11.25">
      <c r="A1163" s="1" t="str">
        <f>"85060"</f>
        <v>85060</v>
      </c>
      <c r="B1163" s="1" t="s">
        <v>1017</v>
      </c>
      <c r="C1163" s="2">
        <v>38.59</v>
      </c>
    </row>
    <row r="1164" spans="1:3" ht="11.25">
      <c r="A1164" s="1" t="str">
        <f>"85097"</f>
        <v>85097</v>
      </c>
      <c r="B1164" s="1" t="s">
        <v>1473</v>
      </c>
      <c r="C1164" s="2">
        <v>81.44</v>
      </c>
    </row>
    <row r="1165" spans="1:3" ht="11.25">
      <c r="A1165" s="1" t="str">
        <f>"85130"</f>
        <v>85130</v>
      </c>
      <c r="B1165" s="1" t="s">
        <v>799</v>
      </c>
      <c r="C1165" s="2">
        <v>16.42</v>
      </c>
    </row>
    <row r="1166" spans="1:3" ht="11.25">
      <c r="A1166" s="1" t="str">
        <f>"85170"</f>
        <v>85170</v>
      </c>
      <c r="B1166" s="1" t="s">
        <v>586</v>
      </c>
      <c r="C1166" s="2">
        <v>8.25</v>
      </c>
    </row>
    <row r="1167" spans="1:3" ht="11.25">
      <c r="A1167" s="1" t="str">
        <f>"85175"</f>
        <v>85175</v>
      </c>
      <c r="B1167" s="1" t="s">
        <v>611</v>
      </c>
      <c r="C1167" s="2">
        <v>9.53</v>
      </c>
    </row>
    <row r="1168" spans="1:3" ht="11.25">
      <c r="A1168" s="1" t="str">
        <f>"85210"</f>
        <v>85210</v>
      </c>
      <c r="B1168" s="1" t="s">
        <v>310</v>
      </c>
      <c r="C1168" s="2">
        <v>15.9</v>
      </c>
    </row>
    <row r="1169" spans="1:3" ht="11.25">
      <c r="A1169" s="1" t="str">
        <f>"85220"</f>
        <v>85220</v>
      </c>
      <c r="B1169" s="1" t="s">
        <v>834</v>
      </c>
      <c r="C1169" s="2">
        <v>27.32</v>
      </c>
    </row>
    <row r="1170" spans="1:3" ht="11.25">
      <c r="A1170" s="1" t="str">
        <f>"85230"</f>
        <v>85230</v>
      </c>
      <c r="B1170" s="1" t="s">
        <v>1675</v>
      </c>
      <c r="C1170" s="2">
        <v>27.32</v>
      </c>
    </row>
    <row r="1171" spans="1:3" ht="11.25">
      <c r="A1171" s="1" t="str">
        <f>"85240"</f>
        <v>85240</v>
      </c>
      <c r="B1171" s="1" t="s">
        <v>924</v>
      </c>
      <c r="C1171" s="2">
        <v>27.32</v>
      </c>
    </row>
    <row r="1172" spans="1:3" ht="11.25">
      <c r="A1172" s="1" t="str">
        <f>"85244"</f>
        <v>85244</v>
      </c>
      <c r="B1172" s="1" t="s">
        <v>1525</v>
      </c>
      <c r="C1172" s="2">
        <v>27.32</v>
      </c>
    </row>
    <row r="1173" spans="1:3" ht="11.25">
      <c r="A1173" s="1" t="str">
        <f>"85245"</f>
        <v>85245</v>
      </c>
      <c r="B1173" s="1" t="s">
        <v>1608</v>
      </c>
      <c r="C1173" s="2">
        <v>19.08</v>
      </c>
    </row>
    <row r="1174" spans="1:3" ht="11.25">
      <c r="A1174" s="1" t="str">
        <f>"85246"</f>
        <v>85246</v>
      </c>
      <c r="B1174" s="1" t="s">
        <v>477</v>
      </c>
      <c r="C1174" s="2">
        <v>19.08</v>
      </c>
    </row>
    <row r="1175" spans="1:3" ht="11.25">
      <c r="A1175" s="1" t="str">
        <f>"85247"</f>
        <v>85247</v>
      </c>
      <c r="B1175" s="1" t="s">
        <v>494</v>
      </c>
      <c r="C1175" s="2">
        <v>19.08</v>
      </c>
    </row>
    <row r="1176" spans="1:3" ht="11.25">
      <c r="A1176" s="1" t="str">
        <f>"85250"</f>
        <v>85250</v>
      </c>
      <c r="B1176" s="1" t="s">
        <v>1637</v>
      </c>
      <c r="C1176" s="2">
        <v>27.32</v>
      </c>
    </row>
    <row r="1177" spans="1:3" ht="11.25">
      <c r="A1177" s="1" t="str">
        <f>"85260"</f>
        <v>85260</v>
      </c>
      <c r="B1177" s="1" t="s">
        <v>129</v>
      </c>
      <c r="C1177" s="2">
        <v>27.32</v>
      </c>
    </row>
    <row r="1178" spans="1:3" ht="11.25">
      <c r="A1178" s="1" t="str">
        <f>"85270"</f>
        <v>85270</v>
      </c>
      <c r="B1178" s="1" t="s">
        <v>602</v>
      </c>
      <c r="C1178" s="2">
        <v>27.32</v>
      </c>
    </row>
    <row r="1179" spans="1:3" ht="11.25">
      <c r="A1179" s="1" t="str">
        <f>"85280"</f>
        <v>85280</v>
      </c>
      <c r="B1179" s="1" t="s">
        <v>803</v>
      </c>
      <c r="C1179" s="2">
        <v>27.32</v>
      </c>
    </row>
    <row r="1180" spans="1:3" ht="11.25">
      <c r="A1180" s="1" t="str">
        <f>"85290"</f>
        <v>85290</v>
      </c>
      <c r="B1180" s="1" t="s">
        <v>855</v>
      </c>
      <c r="C1180" s="2">
        <v>27.32</v>
      </c>
    </row>
    <row r="1181" spans="1:3" ht="11.25">
      <c r="A1181" s="1" t="str">
        <f>"85291"</f>
        <v>85291</v>
      </c>
      <c r="B1181" s="1" t="s">
        <v>940</v>
      </c>
      <c r="C1181" s="2">
        <v>21.87</v>
      </c>
    </row>
    <row r="1182" spans="1:3" ht="11.25">
      <c r="A1182" s="1" t="str">
        <f>"85292"</f>
        <v>85292</v>
      </c>
      <c r="B1182" s="1" t="s">
        <v>993</v>
      </c>
      <c r="C1182" s="2">
        <v>46.59</v>
      </c>
    </row>
    <row r="1183" spans="1:3" ht="11.25">
      <c r="A1183" s="1" t="str">
        <f>"85293"</f>
        <v>85293</v>
      </c>
      <c r="B1183" s="1" t="s">
        <v>1288</v>
      </c>
      <c r="C1183" s="2">
        <v>46.59</v>
      </c>
    </row>
    <row r="1184" spans="1:3" ht="11.25">
      <c r="A1184" s="1" t="str">
        <f>"85300"</f>
        <v>85300</v>
      </c>
      <c r="B1184" s="1" t="s">
        <v>1358</v>
      </c>
      <c r="C1184" s="2">
        <v>27.23</v>
      </c>
    </row>
    <row r="1185" spans="1:3" ht="11.25">
      <c r="A1185" s="1" t="str">
        <f>"85301"</f>
        <v>85301</v>
      </c>
      <c r="B1185" s="1" t="s">
        <v>212</v>
      </c>
      <c r="C1185" s="2">
        <v>26.6</v>
      </c>
    </row>
    <row r="1186" spans="1:3" ht="11.25">
      <c r="A1186" s="1" t="str">
        <f>"85302"</f>
        <v>85302</v>
      </c>
      <c r="B1186" s="1" t="s">
        <v>92</v>
      </c>
      <c r="C1186" s="2">
        <v>29.58</v>
      </c>
    </row>
    <row r="1187" spans="1:3" ht="11.25">
      <c r="A1187" s="1" t="str">
        <f>"85303"</f>
        <v>85303</v>
      </c>
      <c r="B1187" s="1" t="s">
        <v>1681</v>
      </c>
      <c r="C1187" s="2">
        <v>75.04</v>
      </c>
    </row>
    <row r="1188" spans="1:3" ht="11.25">
      <c r="A1188" s="1" t="str">
        <f>"85305"</f>
        <v>85305</v>
      </c>
      <c r="B1188" s="1" t="s">
        <v>251</v>
      </c>
      <c r="C1188" s="2">
        <v>28.52</v>
      </c>
    </row>
    <row r="1189" spans="1:3" ht="11.25">
      <c r="A1189" s="1" t="str">
        <f>"85306"</f>
        <v>85306</v>
      </c>
      <c r="B1189" s="1" t="s">
        <v>9</v>
      </c>
      <c r="C1189" s="2">
        <v>34.37</v>
      </c>
    </row>
    <row r="1190" spans="1:3" ht="11.25">
      <c r="A1190" s="1" t="str">
        <f>"85307"</f>
        <v>85307</v>
      </c>
      <c r="B1190" s="1" t="s">
        <v>1471</v>
      </c>
      <c r="C1190" s="2">
        <v>36.28</v>
      </c>
    </row>
    <row r="1191" spans="1:3" ht="11.25">
      <c r="A1191" s="1" t="str">
        <f>"85335"</f>
        <v>85335</v>
      </c>
      <c r="B1191" s="1" t="s">
        <v>1620</v>
      </c>
      <c r="C1191" s="2">
        <v>27.32</v>
      </c>
    </row>
    <row r="1192" spans="1:3" ht="11.25">
      <c r="A1192" s="1" t="str">
        <f>"85337"</f>
        <v>85337</v>
      </c>
      <c r="B1192" s="1" t="s">
        <v>231</v>
      </c>
      <c r="C1192" s="2">
        <v>25.05</v>
      </c>
    </row>
    <row r="1193" spans="1:3" ht="11.25">
      <c r="A1193" s="1" t="str">
        <f>"85345"</f>
        <v>85345</v>
      </c>
      <c r="B1193" s="1" t="s">
        <v>1096</v>
      </c>
      <c r="C1193" s="2">
        <v>10.6</v>
      </c>
    </row>
    <row r="1194" spans="1:3" ht="11.25">
      <c r="A1194" s="1" t="str">
        <f>"85347"</f>
        <v>85347</v>
      </c>
      <c r="B1194" s="1" t="s">
        <v>1472</v>
      </c>
      <c r="C1194" s="2">
        <v>5.5</v>
      </c>
    </row>
    <row r="1195" spans="1:3" ht="11.25">
      <c r="A1195" s="1" t="str">
        <f>"85348"</f>
        <v>85348</v>
      </c>
      <c r="B1195" s="1" t="s">
        <v>1434</v>
      </c>
      <c r="C1195" s="2">
        <v>5.5</v>
      </c>
    </row>
    <row r="1196" spans="1:3" ht="11.25">
      <c r="A1196" s="1" t="str">
        <f>"85360"</f>
        <v>85360</v>
      </c>
      <c r="B1196" s="1" t="s">
        <v>1534</v>
      </c>
      <c r="C1196" s="2">
        <v>20.68</v>
      </c>
    </row>
    <row r="1197" spans="1:3" ht="11.25">
      <c r="A1197" s="1" t="str">
        <f>"85362"</f>
        <v>85362</v>
      </c>
      <c r="B1197" s="1" t="s">
        <v>1298</v>
      </c>
      <c r="C1197" s="2">
        <v>10.81</v>
      </c>
    </row>
    <row r="1198" spans="1:3" ht="11.25">
      <c r="A1198" s="1" t="str">
        <f>"85366"</f>
        <v>85366</v>
      </c>
      <c r="B1198" s="1" t="s">
        <v>579</v>
      </c>
      <c r="C1198" s="2">
        <v>9.53</v>
      </c>
    </row>
    <row r="1199" spans="1:3" ht="11.25">
      <c r="A1199" s="1" t="str">
        <f>"85370"</f>
        <v>85370</v>
      </c>
      <c r="B1199" s="1" t="s">
        <v>570</v>
      </c>
      <c r="C1199" s="2">
        <v>27.93</v>
      </c>
    </row>
    <row r="1200" spans="1:3" ht="11.25">
      <c r="A1200" s="1" t="str">
        <f>"85378"</f>
        <v>85378</v>
      </c>
      <c r="B1200" s="1" t="s">
        <v>110</v>
      </c>
      <c r="C1200" s="2">
        <v>29.75</v>
      </c>
    </row>
    <row r="1201" spans="1:3" ht="11.25">
      <c r="A1201" s="1" t="str">
        <f>"85379"</f>
        <v>85379</v>
      </c>
      <c r="B1201" s="1" t="s">
        <v>650</v>
      </c>
      <c r="C1201" s="2">
        <v>25.05</v>
      </c>
    </row>
    <row r="1202" spans="1:3" ht="11.25">
      <c r="A1202" s="1" t="str">
        <f>"85380"</f>
        <v>85380</v>
      </c>
      <c r="B1202" s="1" t="s">
        <v>1499</v>
      </c>
      <c r="C1202" s="2">
        <v>24.71</v>
      </c>
    </row>
    <row r="1203" spans="1:3" ht="11.25">
      <c r="A1203" s="1" t="str">
        <f>"85384"</f>
        <v>85384</v>
      </c>
      <c r="B1203" s="1" t="s">
        <v>1108</v>
      </c>
      <c r="C1203" s="2">
        <v>17.83</v>
      </c>
    </row>
    <row r="1204" spans="1:3" ht="11.25">
      <c r="A1204" s="1" t="str">
        <f>"85385"</f>
        <v>85385</v>
      </c>
      <c r="B1204" s="1" t="s">
        <v>43</v>
      </c>
      <c r="C1204" s="2">
        <v>17.83</v>
      </c>
    </row>
    <row r="1205" spans="1:3" ht="11.25">
      <c r="A1205" s="1" t="str">
        <f>"85390"</f>
        <v>85390</v>
      </c>
      <c r="B1205" s="1" t="s">
        <v>96</v>
      </c>
      <c r="C1205" s="2">
        <v>12.68</v>
      </c>
    </row>
    <row r="1206" spans="1:3" ht="11.25">
      <c r="A1206" s="1" t="str">
        <f>"85396"</f>
        <v>85396</v>
      </c>
      <c r="B1206" s="1" t="s">
        <v>362</v>
      </c>
      <c r="C1206" s="2">
        <v>32.21</v>
      </c>
    </row>
    <row r="1207" spans="1:3" ht="11.25">
      <c r="A1207" s="1" t="str">
        <f>"85397"</f>
        <v>85397</v>
      </c>
      <c r="B1207" s="1" t="s">
        <v>362</v>
      </c>
      <c r="C1207" s="2">
        <v>32.21</v>
      </c>
    </row>
    <row r="1208" spans="1:3" ht="11.25">
      <c r="A1208" s="1" t="str">
        <f>"85400"</f>
        <v>85400</v>
      </c>
      <c r="B1208" s="1" t="s">
        <v>320</v>
      </c>
      <c r="C1208" s="2">
        <v>19.08</v>
      </c>
    </row>
    <row r="1209" spans="1:3" ht="11.25">
      <c r="A1209" s="1" t="str">
        <f>"85410"</f>
        <v>85410</v>
      </c>
      <c r="B1209" s="1" t="s">
        <v>178</v>
      </c>
      <c r="C1209" s="2">
        <v>9.53</v>
      </c>
    </row>
    <row r="1210" spans="1:3" ht="11.25">
      <c r="A1210" s="1" t="str">
        <f>"85415"</f>
        <v>85415</v>
      </c>
      <c r="B1210" s="1" t="s">
        <v>1217</v>
      </c>
      <c r="C1210" s="2">
        <v>42.31</v>
      </c>
    </row>
    <row r="1211" spans="1:3" ht="11.25">
      <c r="A1211" s="1" t="str">
        <f>"85420"</f>
        <v>85420</v>
      </c>
      <c r="B1211" s="1" t="s">
        <v>970</v>
      </c>
      <c r="C1211" s="2">
        <v>10.6</v>
      </c>
    </row>
    <row r="1212" spans="1:3" ht="11.25">
      <c r="A1212" s="1" t="str">
        <f>"85421"</f>
        <v>85421</v>
      </c>
      <c r="B1212" s="1" t="s">
        <v>117</v>
      </c>
      <c r="C1212" s="2">
        <v>25.07</v>
      </c>
    </row>
    <row r="1213" spans="1:3" ht="11.25">
      <c r="A1213" s="1" t="str">
        <f>"85441"</f>
        <v>85441</v>
      </c>
      <c r="B1213" s="1" t="s">
        <v>1068</v>
      </c>
      <c r="C1213" s="2">
        <v>6.74</v>
      </c>
    </row>
    <row r="1214" spans="1:3" ht="11.25">
      <c r="A1214" s="1" t="str">
        <f>"85445"</f>
        <v>85445</v>
      </c>
      <c r="B1214" s="1" t="s">
        <v>1691</v>
      </c>
      <c r="C1214" s="2">
        <v>16.77</v>
      </c>
    </row>
    <row r="1215" spans="1:3" ht="11.25">
      <c r="A1215" s="1" t="str">
        <f>"85460"</f>
        <v>85460</v>
      </c>
      <c r="B1215" s="1" t="s">
        <v>723</v>
      </c>
      <c r="C1215" s="2">
        <v>5.31</v>
      </c>
    </row>
    <row r="1216" spans="1:3" ht="11.25">
      <c r="A1216" s="1" t="str">
        <f>"85461"</f>
        <v>85461</v>
      </c>
      <c r="B1216" s="1" t="s">
        <v>138</v>
      </c>
      <c r="C1216" s="2">
        <v>17.43</v>
      </c>
    </row>
    <row r="1217" spans="1:3" ht="11.25">
      <c r="A1217" s="1" t="str">
        <f>"85475"</f>
        <v>85475</v>
      </c>
      <c r="B1217" s="1" t="s">
        <v>825</v>
      </c>
      <c r="C1217" s="2">
        <v>13.56</v>
      </c>
    </row>
    <row r="1218" spans="1:3" ht="11.25">
      <c r="A1218" s="1" t="str">
        <f>"85520"</f>
        <v>85520</v>
      </c>
      <c r="B1218" s="1" t="s">
        <v>931</v>
      </c>
      <c r="C1218" s="2">
        <v>32.21</v>
      </c>
    </row>
    <row r="1219" spans="1:3" ht="11.25">
      <c r="A1219" s="1" t="str">
        <f>"85525"</f>
        <v>85525</v>
      </c>
      <c r="B1219" s="1" t="s">
        <v>1007</v>
      </c>
      <c r="C1219" s="2">
        <v>41.98</v>
      </c>
    </row>
    <row r="1220" spans="1:3" ht="11.25">
      <c r="A1220" s="1" t="str">
        <f>"85530"</f>
        <v>85530</v>
      </c>
      <c r="B1220" s="1" t="s">
        <v>535</v>
      </c>
      <c r="C1220" s="2">
        <v>34.86</v>
      </c>
    </row>
    <row r="1221" spans="1:3" ht="11.25">
      <c r="A1221" s="1" t="str">
        <f>"85536"</f>
        <v>85536</v>
      </c>
      <c r="B1221" s="1" t="s">
        <v>1209</v>
      </c>
      <c r="C1221" s="2">
        <v>15.56</v>
      </c>
    </row>
    <row r="1222" spans="1:3" ht="11.25">
      <c r="A1222" s="1" t="str">
        <f>"85540"</f>
        <v>85540</v>
      </c>
      <c r="B1222" s="1" t="s">
        <v>1593</v>
      </c>
      <c r="C1222" s="2">
        <v>13.13</v>
      </c>
    </row>
    <row r="1223" spans="1:3" ht="11.25">
      <c r="A1223" s="1" t="str">
        <f>"85547"</f>
        <v>85547</v>
      </c>
      <c r="B1223" s="1" t="s">
        <v>265</v>
      </c>
      <c r="C1223" s="2">
        <v>13.56</v>
      </c>
    </row>
    <row r="1224" spans="1:3" ht="11.25">
      <c r="A1224" s="1" t="str">
        <f>"85549"</f>
        <v>85549</v>
      </c>
      <c r="B1224" s="1" t="s">
        <v>658</v>
      </c>
      <c r="C1224" s="2">
        <v>46.14</v>
      </c>
    </row>
    <row r="1225" spans="1:3" ht="11.25">
      <c r="A1225" s="1" t="str">
        <f>"85555"</f>
        <v>85555</v>
      </c>
      <c r="B1225" s="1" t="s">
        <v>1543</v>
      </c>
      <c r="C1225" s="2">
        <v>13.56</v>
      </c>
    </row>
    <row r="1226" spans="1:3" ht="11.25">
      <c r="A1226" s="1" t="str">
        <f>"85557"</f>
        <v>85557</v>
      </c>
      <c r="B1226" s="1" t="s">
        <v>597</v>
      </c>
      <c r="C1226" s="2">
        <v>32.86</v>
      </c>
    </row>
    <row r="1227" spans="1:3" ht="11.25">
      <c r="A1227" s="1" t="str">
        <f>"85576"</f>
        <v>85576</v>
      </c>
      <c r="B1227" s="1" t="s">
        <v>389</v>
      </c>
      <c r="C1227" s="2">
        <v>34.09</v>
      </c>
    </row>
    <row r="1228" spans="1:3" ht="11.25">
      <c r="A1228" s="1" t="str">
        <f>"85597"</f>
        <v>85597</v>
      </c>
      <c r="B1228" s="1" t="s">
        <v>685</v>
      </c>
      <c r="C1228" s="2">
        <v>10.58</v>
      </c>
    </row>
    <row r="1229" spans="1:3" ht="11.25">
      <c r="A1229" s="1" t="str">
        <f>"85610"</f>
        <v>85610</v>
      </c>
      <c r="B1229" s="1" t="s">
        <v>784</v>
      </c>
      <c r="C1229" s="2">
        <v>9.68</v>
      </c>
    </row>
    <row r="1230" spans="1:3" ht="11.25">
      <c r="A1230" s="1" t="str">
        <f>"85611"</f>
        <v>85611</v>
      </c>
      <c r="B1230" s="1" t="s">
        <v>291</v>
      </c>
      <c r="C1230" s="2">
        <v>14</v>
      </c>
    </row>
    <row r="1231" spans="1:3" ht="11.25">
      <c r="A1231" s="1" t="str">
        <f>"85612"</f>
        <v>85612</v>
      </c>
      <c r="B1231" s="1" t="s">
        <v>1059</v>
      </c>
      <c r="C1231" s="2">
        <v>23.54</v>
      </c>
    </row>
    <row r="1232" spans="1:3" ht="11.25">
      <c r="A1232" s="1" t="str">
        <f>"85613"</f>
        <v>85613</v>
      </c>
      <c r="B1232" s="1" t="s">
        <v>1107</v>
      </c>
      <c r="C1232" s="2">
        <v>23.54</v>
      </c>
    </row>
    <row r="1233" spans="1:3" ht="11.25">
      <c r="A1233" s="1" t="str">
        <f>"85635"</f>
        <v>85635</v>
      </c>
      <c r="B1233" s="1" t="s">
        <v>1715</v>
      </c>
      <c r="C1233" s="2">
        <v>24.25</v>
      </c>
    </row>
    <row r="1234" spans="1:3" ht="11.25">
      <c r="A1234" s="1" t="str">
        <f>"85651"</f>
        <v>85651</v>
      </c>
      <c r="B1234" s="1" t="s">
        <v>1019</v>
      </c>
      <c r="C1234" s="2">
        <v>8.71</v>
      </c>
    </row>
    <row r="1235" spans="1:3" ht="11.25">
      <c r="A1235" s="1" t="str">
        <f>"85652"</f>
        <v>85652</v>
      </c>
      <c r="B1235" s="1" t="s">
        <v>577</v>
      </c>
      <c r="C1235" s="2">
        <v>8.53</v>
      </c>
    </row>
    <row r="1236" spans="1:3" ht="11.25">
      <c r="A1236" s="1" t="str">
        <f>"85660"</f>
        <v>85660</v>
      </c>
      <c r="B1236" s="1" t="s">
        <v>381</v>
      </c>
      <c r="C1236" s="2">
        <v>13.6</v>
      </c>
    </row>
    <row r="1237" spans="1:3" ht="11.25">
      <c r="A1237" s="1" t="str">
        <f>"85670"</f>
        <v>85670</v>
      </c>
      <c r="B1237" s="1" t="s">
        <v>874</v>
      </c>
      <c r="C1237" s="2">
        <v>14.21</v>
      </c>
    </row>
    <row r="1238" spans="1:3" ht="11.25">
      <c r="A1238" s="1" t="str">
        <f>"85675"</f>
        <v>85675</v>
      </c>
      <c r="B1238" s="1" t="s">
        <v>207</v>
      </c>
      <c r="C1238" s="2">
        <v>13.56</v>
      </c>
    </row>
    <row r="1239" spans="1:3" ht="11.25">
      <c r="A1239" s="1" t="str">
        <f>"85705"</f>
        <v>85705</v>
      </c>
      <c r="B1239" s="1" t="s">
        <v>639</v>
      </c>
      <c r="C1239" s="2">
        <v>41.98</v>
      </c>
    </row>
    <row r="1240" spans="1:3" ht="11.25">
      <c r="A1240" s="1" t="str">
        <f>"85730"</f>
        <v>85730</v>
      </c>
      <c r="B1240" s="1" t="s">
        <v>1408</v>
      </c>
      <c r="C1240" s="2">
        <v>14.78</v>
      </c>
    </row>
    <row r="1241" spans="1:3" ht="11.25">
      <c r="A1241" s="1" t="str">
        <f>"85732"</f>
        <v>85732</v>
      </c>
      <c r="B1241" s="1" t="s">
        <v>59</v>
      </c>
      <c r="C1241" s="2">
        <v>15.93</v>
      </c>
    </row>
    <row r="1242" spans="1:3" ht="11.25">
      <c r="A1242" s="1" t="str">
        <f>"85810"</f>
        <v>85810</v>
      </c>
      <c r="B1242" s="1" t="s">
        <v>441</v>
      </c>
      <c r="C1242" s="2">
        <v>27.32</v>
      </c>
    </row>
    <row r="1243" spans="1:3" ht="11.25">
      <c r="A1243" s="1" t="str">
        <f>"85999"</f>
        <v>85999</v>
      </c>
      <c r="B1243" s="1" t="s">
        <v>907</v>
      </c>
      <c r="C1243" s="2">
        <v>17.51</v>
      </c>
    </row>
    <row r="1244" spans="1:3" ht="11.25">
      <c r="A1244" s="1" t="str">
        <f>"86000"</f>
        <v>86000</v>
      </c>
      <c r="B1244" s="1" t="s">
        <v>1648</v>
      </c>
      <c r="C1244" s="2">
        <v>17.17</v>
      </c>
    </row>
    <row r="1245" spans="1:3" ht="11.25">
      <c r="A1245" s="1" t="str">
        <f>"86001"</f>
        <v>86001</v>
      </c>
      <c r="B1245" s="1" t="s">
        <v>1</v>
      </c>
      <c r="C1245" s="2">
        <v>12.54</v>
      </c>
    </row>
    <row r="1246" spans="1:3" ht="11.25">
      <c r="A1246" s="1" t="str">
        <f>"86003"</f>
        <v>86003</v>
      </c>
      <c r="B1246" s="1" t="s">
        <v>402</v>
      </c>
      <c r="C1246" s="2">
        <v>12.64</v>
      </c>
    </row>
    <row r="1247" spans="1:3" ht="11.25">
      <c r="A1247" s="1" t="str">
        <f>"86005"</f>
        <v>86005</v>
      </c>
      <c r="B1247" s="1" t="s">
        <v>1183</v>
      </c>
      <c r="C1247" s="2">
        <v>7.68</v>
      </c>
    </row>
    <row r="1248" spans="1:3" ht="11.25">
      <c r="A1248" s="1" t="str">
        <f>"86021"</f>
        <v>86021</v>
      </c>
      <c r="B1248" s="1" t="s">
        <v>995</v>
      </c>
      <c r="C1248" s="2">
        <v>13.56</v>
      </c>
    </row>
    <row r="1249" spans="1:3" ht="11.25">
      <c r="A1249" s="1" t="str">
        <f>"86022"</f>
        <v>86022</v>
      </c>
      <c r="B1249" s="1" t="s">
        <v>612</v>
      </c>
      <c r="C1249" s="2">
        <v>37.02</v>
      </c>
    </row>
    <row r="1250" spans="1:3" ht="11.25">
      <c r="A1250" s="1" t="str">
        <f>"86023"</f>
        <v>86023</v>
      </c>
      <c r="B1250" s="1" t="s">
        <v>14</v>
      </c>
      <c r="C1250" s="2">
        <v>26.43</v>
      </c>
    </row>
    <row r="1251" spans="1:3" ht="11.25">
      <c r="A1251" s="1" t="str">
        <f>"86038"</f>
        <v>86038</v>
      </c>
      <c r="B1251" s="1" t="s">
        <v>199</v>
      </c>
      <c r="C1251" s="2">
        <v>29.01</v>
      </c>
    </row>
    <row r="1252" spans="1:3" ht="11.25">
      <c r="A1252" s="1" t="str">
        <f>"86039"</f>
        <v>86039</v>
      </c>
      <c r="B1252" s="1" t="s">
        <v>643</v>
      </c>
      <c r="C1252" s="2">
        <v>29.39</v>
      </c>
    </row>
    <row r="1253" spans="1:3" ht="11.25">
      <c r="A1253" s="1" t="str">
        <f>"86060"</f>
        <v>86060</v>
      </c>
      <c r="B1253" s="1" t="s">
        <v>1387</v>
      </c>
      <c r="C1253" s="2">
        <v>17.95</v>
      </c>
    </row>
    <row r="1254" spans="1:3" ht="11.25">
      <c r="A1254" s="1" t="str">
        <f>"86063"</f>
        <v>86063</v>
      </c>
      <c r="B1254" s="1" t="s">
        <v>405</v>
      </c>
      <c r="C1254" s="2">
        <v>10.6</v>
      </c>
    </row>
    <row r="1255" spans="1:3" ht="11.25">
      <c r="A1255" s="1" t="str">
        <f>"86140"</f>
        <v>86140</v>
      </c>
      <c r="B1255" s="1" t="s">
        <v>1586</v>
      </c>
      <c r="C1255" s="2">
        <v>12.73</v>
      </c>
    </row>
    <row r="1256" spans="1:3" ht="11.25">
      <c r="A1256" s="1" t="str">
        <f>"86141"</f>
        <v>86141</v>
      </c>
      <c r="B1256" s="1" t="s">
        <v>164</v>
      </c>
      <c r="C1256" s="2">
        <v>31.1</v>
      </c>
    </row>
    <row r="1257" spans="1:3" ht="11.25">
      <c r="A1257" s="1" t="str">
        <f>"86146"</f>
        <v>86146</v>
      </c>
      <c r="B1257" s="1" t="s">
        <v>1722</v>
      </c>
      <c r="C1257" s="2">
        <v>61.12</v>
      </c>
    </row>
    <row r="1258" spans="1:3" ht="11.25">
      <c r="A1258" s="1" t="str">
        <f>"86147"</f>
        <v>86147</v>
      </c>
      <c r="B1258" s="1" t="s">
        <v>1572</v>
      </c>
      <c r="C1258" s="2">
        <v>93.03</v>
      </c>
    </row>
    <row r="1259" spans="1:3" ht="11.25">
      <c r="A1259" s="1" t="str">
        <f>"86148"</f>
        <v>86148</v>
      </c>
      <c r="B1259" s="1" t="s">
        <v>1672</v>
      </c>
      <c r="C1259" s="2">
        <v>89.78</v>
      </c>
    </row>
    <row r="1260" spans="1:3" ht="11.25">
      <c r="A1260" s="1" t="str">
        <f>"86155"</f>
        <v>86155</v>
      </c>
      <c r="B1260" s="1" t="s">
        <v>591</v>
      </c>
      <c r="C1260" s="2">
        <v>28.33</v>
      </c>
    </row>
    <row r="1261" spans="1:3" ht="11.25">
      <c r="A1261" s="1" t="str">
        <f>"86156"</f>
        <v>86156</v>
      </c>
      <c r="B1261" s="1" t="s">
        <v>1571</v>
      </c>
      <c r="C1261" s="2">
        <v>14</v>
      </c>
    </row>
    <row r="1262" spans="1:3" ht="11.25">
      <c r="A1262" s="1" t="str">
        <f>"86157"</f>
        <v>86157</v>
      </c>
      <c r="B1262" s="1" t="s">
        <v>568</v>
      </c>
      <c r="C1262" s="2">
        <v>19.82</v>
      </c>
    </row>
    <row r="1263" spans="1:3" ht="11.25">
      <c r="A1263" s="1" t="str">
        <f>"86160"</f>
        <v>86160</v>
      </c>
      <c r="B1263" s="1" t="s">
        <v>1465</v>
      </c>
      <c r="C1263" s="2">
        <v>29.52</v>
      </c>
    </row>
    <row r="1264" spans="1:3" ht="11.25">
      <c r="A1264" s="1" t="str">
        <f>"86161"</f>
        <v>86161</v>
      </c>
      <c r="B1264" s="1" t="s">
        <v>1313</v>
      </c>
      <c r="C1264" s="2">
        <v>29.52</v>
      </c>
    </row>
    <row r="1265" spans="1:3" ht="11.25">
      <c r="A1265" s="1" t="str">
        <f>"86162"</f>
        <v>86162</v>
      </c>
      <c r="B1265" s="1" t="s">
        <v>1644</v>
      </c>
      <c r="C1265" s="2">
        <v>49.97</v>
      </c>
    </row>
    <row r="1266" spans="1:3" ht="11.25">
      <c r="A1266" s="1" t="str">
        <f>"86171"</f>
        <v>86171</v>
      </c>
      <c r="B1266" s="1" t="s">
        <v>418</v>
      </c>
      <c r="C1266" s="2">
        <v>19.26</v>
      </c>
    </row>
    <row r="1267" spans="1:3" ht="11.25">
      <c r="A1267" s="1" t="str">
        <f>"86185"</f>
        <v>86185</v>
      </c>
      <c r="B1267" s="1" t="s">
        <v>1633</v>
      </c>
      <c r="C1267" s="2">
        <v>21.82</v>
      </c>
    </row>
    <row r="1268" spans="1:3" ht="11.25">
      <c r="A1268" s="1" t="str">
        <f>"86200"</f>
        <v>86200</v>
      </c>
      <c r="B1268" s="1" t="s">
        <v>1292</v>
      </c>
      <c r="C1268" s="2">
        <v>34.09</v>
      </c>
    </row>
    <row r="1269" spans="1:3" ht="11.25">
      <c r="A1269" s="1" t="str">
        <f>"86215"</f>
        <v>86215</v>
      </c>
      <c r="B1269" s="1" t="s">
        <v>971</v>
      </c>
      <c r="C1269" s="2">
        <v>32.61</v>
      </c>
    </row>
    <row r="1270" spans="1:3" ht="11.25">
      <c r="A1270" s="1" t="str">
        <f>"86225"</f>
        <v>86225</v>
      </c>
      <c r="B1270" s="1" t="s">
        <v>1700</v>
      </c>
      <c r="C1270" s="2">
        <v>33.8</v>
      </c>
    </row>
    <row r="1271" spans="1:3" ht="11.25">
      <c r="A1271" s="1" t="str">
        <f>"86226"</f>
        <v>86226</v>
      </c>
      <c r="B1271" s="1" t="s">
        <v>817</v>
      </c>
      <c r="C1271" s="2">
        <v>44.76</v>
      </c>
    </row>
    <row r="1272" spans="1:3" ht="11.25">
      <c r="A1272" s="1" t="str">
        <f>"86235"</f>
        <v>86235</v>
      </c>
      <c r="B1272" s="1" t="s">
        <v>224</v>
      </c>
      <c r="C1272" s="2">
        <v>44.12</v>
      </c>
    </row>
    <row r="1273" spans="1:3" ht="11.25">
      <c r="A1273" s="1" t="str">
        <f>"86243"</f>
        <v>86243</v>
      </c>
      <c r="B1273" s="1" t="s">
        <v>683</v>
      </c>
      <c r="C1273" s="2">
        <v>50.49</v>
      </c>
    </row>
    <row r="1274" spans="1:3" ht="11.25">
      <c r="A1274" s="1" t="str">
        <f>"86255"</f>
        <v>86255</v>
      </c>
      <c r="B1274" s="1" t="s">
        <v>1237</v>
      </c>
      <c r="C1274" s="2">
        <v>27.72</v>
      </c>
    </row>
    <row r="1275" spans="1:3" ht="11.25">
      <c r="A1275" s="1" t="str">
        <f>"86256"</f>
        <v>86256</v>
      </c>
      <c r="B1275" s="1" t="s">
        <v>692</v>
      </c>
      <c r="C1275" s="2">
        <v>29.01</v>
      </c>
    </row>
    <row r="1276" spans="1:3" ht="11.25">
      <c r="A1276" s="1" t="str">
        <f>"86277"</f>
        <v>86277</v>
      </c>
      <c r="B1276" s="1" t="s">
        <v>448</v>
      </c>
      <c r="C1276" s="2">
        <v>34.09</v>
      </c>
    </row>
    <row r="1277" spans="1:3" ht="11.25">
      <c r="A1277" s="1" t="str">
        <f>"86280"</f>
        <v>86280</v>
      </c>
      <c r="B1277" s="1" t="s">
        <v>1340</v>
      </c>
      <c r="C1277" s="2">
        <v>6.15</v>
      </c>
    </row>
    <row r="1278" spans="1:3" ht="11.25">
      <c r="A1278" s="1" t="str">
        <f>"86300"</f>
        <v>86300</v>
      </c>
      <c r="B1278" s="1" t="s">
        <v>1446</v>
      </c>
      <c r="C1278" s="2">
        <v>10.46</v>
      </c>
    </row>
    <row r="1279" spans="1:3" ht="11.25">
      <c r="A1279" s="1" t="str">
        <f>"86301"</f>
        <v>86301</v>
      </c>
      <c r="B1279" s="1" t="s">
        <v>1091</v>
      </c>
      <c r="C1279" s="2">
        <v>49.99</v>
      </c>
    </row>
    <row r="1280" spans="1:3" ht="11.25">
      <c r="A1280" s="1" t="str">
        <f>"86304"</f>
        <v>86304</v>
      </c>
      <c r="B1280" s="1" t="s">
        <v>1329</v>
      </c>
      <c r="C1280" s="2">
        <v>49.99</v>
      </c>
    </row>
    <row r="1281" spans="1:3" ht="11.25">
      <c r="A1281" s="1" t="str">
        <f>"86308"</f>
        <v>86308</v>
      </c>
      <c r="B1281" s="1" t="s">
        <v>796</v>
      </c>
      <c r="C1281" s="2">
        <v>12.73</v>
      </c>
    </row>
    <row r="1282" spans="1:3" ht="11.25">
      <c r="A1282" s="1" t="str">
        <f>"86309"</f>
        <v>86309</v>
      </c>
      <c r="B1282" s="1" t="s">
        <v>1660</v>
      </c>
      <c r="C1282" s="2">
        <v>15.93</v>
      </c>
    </row>
    <row r="1283" spans="1:3" ht="11.25">
      <c r="A1283" s="1" t="str">
        <f>"86310"</f>
        <v>86310</v>
      </c>
      <c r="B1283" s="1" t="s">
        <v>1202</v>
      </c>
      <c r="C1283" s="2">
        <v>18.14</v>
      </c>
    </row>
    <row r="1284" spans="1:3" ht="11.25">
      <c r="A1284" s="1" t="str">
        <f>"86316"</f>
        <v>86316</v>
      </c>
      <c r="B1284" s="1" t="s">
        <v>1106</v>
      </c>
      <c r="C1284" s="2">
        <v>47.62</v>
      </c>
    </row>
    <row r="1285" spans="1:3" ht="11.25">
      <c r="A1285" s="1" t="str">
        <f>"86317"</f>
        <v>86317</v>
      </c>
      <c r="B1285" s="1" t="s">
        <v>301</v>
      </c>
      <c r="C1285" s="2">
        <v>36.89</v>
      </c>
    </row>
    <row r="1286" spans="1:3" ht="11.25">
      <c r="A1286" s="1" t="str">
        <f>"86318"</f>
        <v>86318</v>
      </c>
      <c r="B1286" s="1" t="s">
        <v>1064</v>
      </c>
      <c r="C1286" s="2">
        <v>31.85</v>
      </c>
    </row>
    <row r="1287" spans="1:3" ht="11.25">
      <c r="A1287" s="1" t="str">
        <f>"86320"</f>
        <v>86320</v>
      </c>
      <c r="B1287" s="1" t="s">
        <v>977</v>
      </c>
      <c r="C1287" s="2">
        <v>55.14</v>
      </c>
    </row>
    <row r="1288" spans="1:3" ht="11.25">
      <c r="A1288" s="1" t="str">
        <f>"86325"</f>
        <v>86325</v>
      </c>
      <c r="B1288" s="1" t="s">
        <v>201</v>
      </c>
      <c r="C1288" s="2">
        <v>54.99</v>
      </c>
    </row>
    <row r="1289" spans="1:3" ht="11.25">
      <c r="A1289" s="1" t="str">
        <f>"86327"</f>
        <v>86327</v>
      </c>
      <c r="B1289" s="1" t="s">
        <v>438</v>
      </c>
      <c r="C1289" s="2">
        <v>55.82</v>
      </c>
    </row>
    <row r="1290" spans="1:3" ht="11.25">
      <c r="A1290" s="1" t="str">
        <f>"86329"</f>
        <v>86329</v>
      </c>
      <c r="B1290" s="1" t="s">
        <v>1069</v>
      </c>
      <c r="C1290" s="2">
        <v>27.72</v>
      </c>
    </row>
    <row r="1291" spans="1:3" ht="11.25">
      <c r="A1291" s="1" t="str">
        <f>"86331"</f>
        <v>86331</v>
      </c>
      <c r="B1291" s="1" t="s">
        <v>926</v>
      </c>
      <c r="C1291" s="2">
        <v>25.84</v>
      </c>
    </row>
    <row r="1292" spans="1:3" ht="11.25">
      <c r="A1292" s="1" t="str">
        <f>"86332"</f>
        <v>86332</v>
      </c>
      <c r="B1292" s="1" t="s">
        <v>849</v>
      </c>
      <c r="C1292" s="2">
        <v>77.08</v>
      </c>
    </row>
    <row r="1293" spans="1:3" ht="11.25">
      <c r="A1293" s="1" t="str">
        <f>"86334"</f>
        <v>86334</v>
      </c>
      <c r="B1293" s="1" t="s">
        <v>527</v>
      </c>
      <c r="C1293" s="2">
        <v>54.95</v>
      </c>
    </row>
    <row r="1294" spans="1:3" ht="11.25">
      <c r="A1294" s="1" t="str">
        <f>"86336"</f>
        <v>86336</v>
      </c>
      <c r="B1294" s="1" t="s">
        <v>1253</v>
      </c>
      <c r="C1294" s="2">
        <v>68.11</v>
      </c>
    </row>
    <row r="1295" spans="1:3" ht="11.25">
      <c r="A1295" s="1" t="str">
        <f>"86337"</f>
        <v>86337</v>
      </c>
      <c r="B1295" s="1" t="s">
        <v>1041</v>
      </c>
      <c r="C1295" s="2">
        <v>52.67</v>
      </c>
    </row>
    <row r="1296" spans="1:3" ht="11.25">
      <c r="A1296" s="1" t="str">
        <f>"86340"</f>
        <v>86340</v>
      </c>
      <c r="B1296" s="1" t="s">
        <v>278</v>
      </c>
      <c r="C1296" s="2">
        <v>31.31</v>
      </c>
    </row>
    <row r="1297" spans="1:3" ht="11.25">
      <c r="A1297" s="1" t="str">
        <f>"86341"</f>
        <v>86341</v>
      </c>
      <c r="B1297" s="1" t="s">
        <v>1208</v>
      </c>
      <c r="C1297" s="2">
        <v>34.98</v>
      </c>
    </row>
    <row r="1298" spans="1:3" ht="11.25">
      <c r="A1298" s="1" t="str">
        <f>"86343"</f>
        <v>86343</v>
      </c>
      <c r="B1298" s="1" t="s">
        <v>560</v>
      </c>
      <c r="C1298" s="2">
        <v>30.66</v>
      </c>
    </row>
    <row r="1299" spans="1:3" ht="11.25">
      <c r="A1299" s="1" t="str">
        <f>"86344"</f>
        <v>86344</v>
      </c>
      <c r="B1299" s="1" t="s">
        <v>806</v>
      </c>
      <c r="C1299" s="2">
        <v>19.64</v>
      </c>
    </row>
    <row r="1300" spans="1:3" ht="11.25">
      <c r="A1300" s="1" t="str">
        <f>"86353"</f>
        <v>86353</v>
      </c>
      <c r="B1300" s="1" t="s">
        <v>426</v>
      </c>
      <c r="C1300" s="2">
        <v>109.03</v>
      </c>
    </row>
    <row r="1301" spans="1:3" ht="11.25">
      <c r="A1301" s="1" t="str">
        <f>"86355"</f>
        <v>86355</v>
      </c>
      <c r="B1301" s="1" t="s">
        <v>67</v>
      </c>
      <c r="C1301" s="2">
        <v>99.04</v>
      </c>
    </row>
    <row r="1302" spans="1:3" ht="11.25">
      <c r="A1302" s="1" t="str">
        <f>"86356"</f>
        <v>86356</v>
      </c>
      <c r="B1302" s="1" t="s">
        <v>864</v>
      </c>
      <c r="C1302" s="2">
        <v>6.34</v>
      </c>
    </row>
    <row r="1303" spans="1:3" ht="11.25">
      <c r="A1303" s="1" t="str">
        <f>"86357"</f>
        <v>86357</v>
      </c>
      <c r="B1303" s="1" t="s">
        <v>1296</v>
      </c>
      <c r="C1303" s="2">
        <v>99.04</v>
      </c>
    </row>
    <row r="1304" spans="1:3" ht="11.25">
      <c r="A1304" s="1" t="str">
        <f>"86359"</f>
        <v>86359</v>
      </c>
      <c r="B1304" s="1" t="s">
        <v>1401</v>
      </c>
      <c r="C1304" s="2">
        <v>110.1</v>
      </c>
    </row>
    <row r="1305" spans="1:3" ht="11.25">
      <c r="A1305" s="1" t="str">
        <f>"86360"</f>
        <v>86360</v>
      </c>
      <c r="B1305" s="1" t="s">
        <v>1451</v>
      </c>
      <c r="C1305" s="2">
        <v>80.81</v>
      </c>
    </row>
    <row r="1306" spans="1:3" ht="11.25">
      <c r="A1306" s="1" t="str">
        <f>"86361"</f>
        <v>86361</v>
      </c>
      <c r="B1306" s="1" t="s">
        <v>1254</v>
      </c>
      <c r="C1306" s="2">
        <v>64.33</v>
      </c>
    </row>
    <row r="1307" spans="1:3" ht="11.25">
      <c r="A1307" s="1" t="str">
        <f>"86367"</f>
        <v>86367</v>
      </c>
      <c r="B1307" s="1" t="s">
        <v>1697</v>
      </c>
      <c r="C1307" s="2">
        <v>99.04</v>
      </c>
    </row>
    <row r="1308" spans="1:3" ht="11.25">
      <c r="A1308" s="1" t="str">
        <f>"86376"</f>
        <v>86376</v>
      </c>
      <c r="B1308" s="1" t="s">
        <v>1636</v>
      </c>
      <c r="C1308" s="2">
        <v>29.67</v>
      </c>
    </row>
    <row r="1309" spans="1:3" ht="11.25">
      <c r="A1309" s="1" t="str">
        <f>"86378"</f>
        <v>86378</v>
      </c>
      <c r="B1309" s="1" t="s">
        <v>1693</v>
      </c>
      <c r="C1309" s="2">
        <v>48.44</v>
      </c>
    </row>
    <row r="1310" spans="1:3" ht="11.25">
      <c r="A1310" s="1" t="str">
        <f>"86382"</f>
        <v>86382</v>
      </c>
      <c r="B1310" s="1" t="s">
        <v>1666</v>
      </c>
      <c r="C1310" s="2">
        <v>17.76</v>
      </c>
    </row>
    <row r="1311" spans="1:3" ht="11.25">
      <c r="A1311" s="1" t="str">
        <f>"86384"</f>
        <v>86384</v>
      </c>
      <c r="B1311" s="1" t="s">
        <v>759</v>
      </c>
      <c r="C1311" s="2">
        <v>21.82</v>
      </c>
    </row>
    <row r="1312" spans="1:3" ht="11.25">
      <c r="A1312" s="1" t="str">
        <f>"86403"</f>
        <v>86403</v>
      </c>
      <c r="B1312" s="1" t="s">
        <v>1723</v>
      </c>
      <c r="C1312" s="2">
        <v>25.07</v>
      </c>
    </row>
    <row r="1313" spans="1:3" ht="11.25">
      <c r="A1313" s="1" t="str">
        <f>"86406"</f>
        <v>86406</v>
      </c>
      <c r="B1313" s="1" t="s">
        <v>1004</v>
      </c>
      <c r="C1313" s="2">
        <v>23.7</v>
      </c>
    </row>
    <row r="1314" spans="1:3" ht="11.25">
      <c r="A1314" s="1" t="str">
        <f>"86430"</f>
        <v>86430</v>
      </c>
      <c r="B1314" s="1" t="s">
        <v>283</v>
      </c>
      <c r="C1314" s="2">
        <v>13.75</v>
      </c>
    </row>
    <row r="1315" spans="1:3" ht="11.25">
      <c r="A1315" s="1" t="str">
        <f>"86431"</f>
        <v>86431</v>
      </c>
      <c r="B1315" s="1" t="s">
        <v>198</v>
      </c>
      <c r="C1315" s="2">
        <v>13.75</v>
      </c>
    </row>
    <row r="1316" spans="1:3" ht="11.25">
      <c r="A1316" s="1" t="str">
        <f>"86480"</f>
        <v>86480</v>
      </c>
      <c r="B1316" s="1" t="s">
        <v>101</v>
      </c>
      <c r="C1316" s="2">
        <v>162.73</v>
      </c>
    </row>
    <row r="1317" spans="1:3" ht="11.25">
      <c r="A1317" s="1" t="str">
        <f>"86485"</f>
        <v>86485</v>
      </c>
      <c r="B1317" s="1" t="s">
        <v>176</v>
      </c>
      <c r="C1317" s="2">
        <v>103.13</v>
      </c>
    </row>
    <row r="1318" spans="1:3" ht="11.25">
      <c r="A1318" s="1" t="str">
        <f>"86486"</f>
        <v>86486</v>
      </c>
      <c r="B1318" s="1" t="s">
        <v>1207</v>
      </c>
      <c r="C1318" s="2">
        <v>6.34</v>
      </c>
    </row>
    <row r="1319" spans="1:3" ht="11.25">
      <c r="A1319" s="1" t="str">
        <f>"86490"</f>
        <v>86490</v>
      </c>
      <c r="B1319" s="1" t="s">
        <v>1528</v>
      </c>
      <c r="C1319" s="2">
        <v>15.41</v>
      </c>
    </row>
    <row r="1320" spans="1:3" ht="11.25">
      <c r="A1320" s="1" t="str">
        <f>"86510"</f>
        <v>86510</v>
      </c>
      <c r="B1320" s="1" t="s">
        <v>1203</v>
      </c>
      <c r="C1320" s="2">
        <v>16.49</v>
      </c>
    </row>
    <row r="1321" spans="1:3" ht="11.25">
      <c r="A1321" s="1" t="str">
        <f>"86580"</f>
        <v>86580</v>
      </c>
      <c r="B1321" s="1" t="s">
        <v>930</v>
      </c>
      <c r="C1321" s="2">
        <v>13.27</v>
      </c>
    </row>
    <row r="1322" spans="1:3" ht="11.25">
      <c r="A1322" s="1" t="str">
        <f>"86590"</f>
        <v>86590</v>
      </c>
      <c r="B1322" s="1" t="s">
        <v>919</v>
      </c>
      <c r="C1322" s="2">
        <v>27.13</v>
      </c>
    </row>
    <row r="1323" spans="1:3" ht="11.25">
      <c r="A1323" s="1" t="str">
        <f>"86592"</f>
        <v>86592</v>
      </c>
      <c r="B1323" s="1" t="s">
        <v>1440</v>
      </c>
      <c r="C1323" s="2">
        <v>10.5</v>
      </c>
    </row>
    <row r="1324" spans="1:3" ht="11.25">
      <c r="A1324" s="1" t="str">
        <f>"86593"</f>
        <v>86593</v>
      </c>
      <c r="B1324" s="1" t="s">
        <v>1093</v>
      </c>
      <c r="C1324" s="2">
        <v>10.83</v>
      </c>
    </row>
    <row r="1325" spans="1:3" ht="11.25">
      <c r="A1325" s="1" t="str">
        <f>"86602"</f>
        <v>86602</v>
      </c>
      <c r="B1325" s="1" t="s">
        <v>1261</v>
      </c>
      <c r="C1325" s="2">
        <v>25.05</v>
      </c>
    </row>
    <row r="1326" spans="1:3" ht="11.25">
      <c r="A1326" s="1" t="str">
        <f>"86603"</f>
        <v>86603</v>
      </c>
      <c r="B1326" s="1" t="s">
        <v>1101</v>
      </c>
      <c r="C1326" s="2">
        <v>48.96</v>
      </c>
    </row>
    <row r="1327" spans="1:3" ht="11.25">
      <c r="A1327" s="1" t="str">
        <f>"86606"</f>
        <v>86606</v>
      </c>
      <c r="B1327" s="1" t="s">
        <v>510</v>
      </c>
      <c r="C1327" s="2">
        <v>37.02</v>
      </c>
    </row>
    <row r="1328" spans="1:3" ht="11.25">
      <c r="A1328" s="1" t="str">
        <f>"86609"</f>
        <v>86609</v>
      </c>
      <c r="B1328" s="1" t="s">
        <v>804</v>
      </c>
      <c r="C1328" s="2">
        <v>43.15</v>
      </c>
    </row>
    <row r="1329" spans="1:3" ht="11.25">
      <c r="A1329" s="1" t="str">
        <f>"86611"</f>
        <v>86611</v>
      </c>
      <c r="B1329" s="1" t="s">
        <v>1439</v>
      </c>
      <c r="C1329" s="2">
        <v>24.44</v>
      </c>
    </row>
    <row r="1330" spans="1:3" ht="11.25">
      <c r="A1330" s="1" t="str">
        <f>"86612"</f>
        <v>86612</v>
      </c>
      <c r="B1330" s="1" t="s">
        <v>1243</v>
      </c>
      <c r="C1330" s="2">
        <v>41.98</v>
      </c>
    </row>
    <row r="1331" spans="1:3" ht="11.25">
      <c r="A1331" s="1" t="str">
        <f>"86615"</f>
        <v>86615</v>
      </c>
      <c r="B1331" s="1" t="s">
        <v>1462</v>
      </c>
      <c r="C1331" s="2">
        <v>47.55</v>
      </c>
    </row>
    <row r="1332" spans="1:3" ht="11.25">
      <c r="A1332" s="1" t="str">
        <f>"86617"</f>
        <v>86617</v>
      </c>
      <c r="B1332" s="1" t="s">
        <v>541</v>
      </c>
      <c r="C1332" s="2">
        <v>45.04</v>
      </c>
    </row>
    <row r="1333" spans="1:3" ht="11.25">
      <c r="A1333" s="1" t="str">
        <f>"86618"</f>
        <v>86618</v>
      </c>
      <c r="B1333" s="1" t="s">
        <v>1721</v>
      </c>
      <c r="C1333" s="2">
        <v>75.52</v>
      </c>
    </row>
    <row r="1334" spans="1:3" ht="11.25">
      <c r="A1334" s="1" t="str">
        <f>"86619"</f>
        <v>86619</v>
      </c>
      <c r="B1334" s="1" t="s">
        <v>1742</v>
      </c>
      <c r="C1334" s="2">
        <v>79.74</v>
      </c>
    </row>
    <row r="1335" spans="1:3" ht="11.25">
      <c r="A1335" s="1" t="str">
        <f>"86622"</f>
        <v>86622</v>
      </c>
      <c r="B1335" s="1" t="s">
        <v>882</v>
      </c>
      <c r="C1335" s="2">
        <v>27.98</v>
      </c>
    </row>
    <row r="1336" spans="1:3" ht="11.25">
      <c r="A1336" s="1" t="str">
        <f>"86625"</f>
        <v>86625</v>
      </c>
      <c r="B1336" s="1" t="s">
        <v>1360</v>
      </c>
      <c r="C1336" s="2">
        <v>32.35</v>
      </c>
    </row>
    <row r="1337" spans="1:3" ht="11.25">
      <c r="A1337" s="1" t="str">
        <f>"86628"</f>
        <v>86628</v>
      </c>
      <c r="B1337" s="1" t="s">
        <v>417</v>
      </c>
      <c r="C1337" s="2">
        <v>47.55</v>
      </c>
    </row>
    <row r="1338" spans="1:3" ht="11.25">
      <c r="A1338" s="1" t="str">
        <f>"86631"</f>
        <v>86631</v>
      </c>
      <c r="B1338" s="1" t="s">
        <v>294</v>
      </c>
      <c r="C1338" s="2">
        <v>48.96</v>
      </c>
    </row>
    <row r="1339" spans="1:3" ht="11.25">
      <c r="A1339" s="1" t="str">
        <f>"86632"</f>
        <v>86632</v>
      </c>
      <c r="B1339" s="1" t="s">
        <v>114</v>
      </c>
      <c r="C1339" s="2">
        <v>51.75</v>
      </c>
    </row>
    <row r="1340" spans="1:3" ht="11.25">
      <c r="A1340" s="1" t="str">
        <f>"86635"</f>
        <v>86635</v>
      </c>
      <c r="B1340" s="1" t="s">
        <v>135</v>
      </c>
      <c r="C1340" s="2">
        <v>39.16</v>
      </c>
    </row>
    <row r="1341" spans="1:3" ht="11.25">
      <c r="A1341" s="1" t="str">
        <f>"86638"</f>
        <v>86638</v>
      </c>
      <c r="B1341" s="1" t="s">
        <v>1266</v>
      </c>
      <c r="C1341" s="2">
        <v>58.73</v>
      </c>
    </row>
    <row r="1342" spans="1:3" ht="11.25">
      <c r="A1342" s="1" t="str">
        <f>"86641"</f>
        <v>86641</v>
      </c>
      <c r="B1342" s="1" t="s">
        <v>1167</v>
      </c>
      <c r="C1342" s="2">
        <v>50.35</v>
      </c>
    </row>
    <row r="1343" spans="1:3" ht="11.25">
      <c r="A1343" s="1" t="str">
        <f>"86644"</f>
        <v>86644</v>
      </c>
      <c r="B1343" s="1" t="s">
        <v>1600</v>
      </c>
      <c r="C1343" s="2">
        <v>35.29</v>
      </c>
    </row>
    <row r="1344" spans="1:3" ht="11.25">
      <c r="A1344" s="1" t="str">
        <f>"86645"</f>
        <v>86645</v>
      </c>
      <c r="B1344" s="1" t="s">
        <v>1647</v>
      </c>
      <c r="C1344" s="2">
        <v>50.35</v>
      </c>
    </row>
    <row r="1345" spans="1:3" ht="11.25">
      <c r="A1345" s="1" t="str">
        <f>"86648"</f>
        <v>86648</v>
      </c>
      <c r="B1345" s="1" t="s">
        <v>952</v>
      </c>
      <c r="C1345" s="2">
        <v>54.55</v>
      </c>
    </row>
    <row r="1346" spans="1:3" ht="11.25">
      <c r="A1346" s="1" t="str">
        <f>"86651"</f>
        <v>86651</v>
      </c>
      <c r="B1346" s="1" t="s">
        <v>1013</v>
      </c>
      <c r="C1346" s="2">
        <v>41.98</v>
      </c>
    </row>
    <row r="1347" spans="1:3" ht="11.25">
      <c r="A1347" s="1" t="str">
        <f>"86652"</f>
        <v>86652</v>
      </c>
      <c r="B1347" s="1" t="s">
        <v>748</v>
      </c>
      <c r="C1347" s="2">
        <v>41.98</v>
      </c>
    </row>
    <row r="1348" spans="1:3" ht="11.25">
      <c r="A1348" s="1" t="str">
        <f>"86653"</f>
        <v>86653</v>
      </c>
      <c r="B1348" s="1" t="s">
        <v>1206</v>
      </c>
      <c r="C1348" s="2">
        <v>41.98</v>
      </c>
    </row>
    <row r="1349" spans="1:3" ht="11.25">
      <c r="A1349" s="1" t="str">
        <f>"86654"</f>
        <v>86654</v>
      </c>
      <c r="B1349" s="1" t="s">
        <v>506</v>
      </c>
      <c r="C1349" s="2">
        <v>41.98</v>
      </c>
    </row>
    <row r="1350" spans="1:3" ht="11.25">
      <c r="A1350" s="1" t="str">
        <f>"86658"</f>
        <v>86658</v>
      </c>
      <c r="B1350" s="1" t="s">
        <v>529</v>
      </c>
      <c r="C1350" s="2">
        <v>86.71</v>
      </c>
    </row>
    <row r="1351" spans="1:3" ht="11.25">
      <c r="A1351" s="1" t="str">
        <f>"86663"</f>
        <v>86663</v>
      </c>
      <c r="B1351" s="1" t="s">
        <v>280</v>
      </c>
      <c r="C1351" s="2">
        <v>44.76</v>
      </c>
    </row>
    <row r="1352" spans="1:3" ht="11.25">
      <c r="A1352" s="1" t="str">
        <f>"86664"</f>
        <v>86664</v>
      </c>
      <c r="B1352" s="1" t="s">
        <v>543</v>
      </c>
      <c r="C1352" s="2">
        <v>44.76</v>
      </c>
    </row>
    <row r="1353" spans="1:3" ht="11.25">
      <c r="A1353" s="1" t="str">
        <f>"86665"</f>
        <v>86665</v>
      </c>
      <c r="B1353" s="1" t="s">
        <v>1330</v>
      </c>
      <c r="C1353" s="2">
        <v>46.17</v>
      </c>
    </row>
    <row r="1354" spans="1:3" ht="11.25">
      <c r="A1354" s="1" t="str">
        <f>"86666"</f>
        <v>86666</v>
      </c>
      <c r="B1354" s="1" t="s">
        <v>967</v>
      </c>
      <c r="C1354" s="2">
        <v>24.44</v>
      </c>
    </row>
    <row r="1355" spans="1:3" ht="11.25">
      <c r="A1355" s="1" t="str">
        <f>"86668"</f>
        <v>86668</v>
      </c>
      <c r="B1355" s="1" t="s">
        <v>1220</v>
      </c>
      <c r="C1355" s="2">
        <v>25.58</v>
      </c>
    </row>
    <row r="1356" spans="1:3" ht="11.25">
      <c r="A1356" s="1" t="str">
        <f>"86671"</f>
        <v>86671</v>
      </c>
      <c r="B1356" s="1" t="s">
        <v>1515</v>
      </c>
      <c r="C1356" s="2">
        <v>69.94</v>
      </c>
    </row>
    <row r="1357" spans="1:3" ht="11.25">
      <c r="A1357" s="1" t="str">
        <f>"86674"</f>
        <v>86674</v>
      </c>
      <c r="B1357" s="1" t="s">
        <v>526</v>
      </c>
      <c r="C1357" s="2">
        <v>35.78</v>
      </c>
    </row>
    <row r="1358" spans="1:3" ht="11.25">
      <c r="A1358" s="1" t="str">
        <f>"86677"</f>
        <v>86677</v>
      </c>
      <c r="B1358" s="1" t="s">
        <v>161</v>
      </c>
      <c r="C1358" s="2">
        <v>61.56</v>
      </c>
    </row>
    <row r="1359" spans="1:3" ht="11.25">
      <c r="A1359" s="1" t="str">
        <f>"86682"</f>
        <v>86682</v>
      </c>
      <c r="B1359" s="1" t="s">
        <v>122</v>
      </c>
      <c r="C1359" s="2">
        <v>27.82</v>
      </c>
    </row>
    <row r="1360" spans="1:3" ht="11.25">
      <c r="A1360" s="1" t="str">
        <f>"86684"</f>
        <v>86684</v>
      </c>
      <c r="B1360" s="1" t="s">
        <v>463</v>
      </c>
      <c r="C1360" s="2">
        <v>60.17</v>
      </c>
    </row>
    <row r="1361" spans="1:3" ht="11.25">
      <c r="A1361" s="1" t="str">
        <f>"86687"</f>
        <v>86687</v>
      </c>
      <c r="B1361" s="1" t="s">
        <v>684</v>
      </c>
      <c r="C1361" s="2">
        <v>23.98</v>
      </c>
    </row>
    <row r="1362" spans="1:3" ht="11.25">
      <c r="A1362" s="1" t="str">
        <f>"86688"</f>
        <v>86688</v>
      </c>
      <c r="B1362" s="1" t="s">
        <v>901</v>
      </c>
      <c r="C1362" s="2">
        <v>33.57</v>
      </c>
    </row>
    <row r="1363" spans="1:3" ht="11.25">
      <c r="A1363" s="1" t="str">
        <f>"86689"</f>
        <v>86689</v>
      </c>
      <c r="B1363" s="1" t="s">
        <v>1512</v>
      </c>
      <c r="C1363" s="2">
        <v>47.62</v>
      </c>
    </row>
    <row r="1364" spans="1:3" ht="11.25">
      <c r="A1364" s="1" t="str">
        <f>"86692"</f>
        <v>86692</v>
      </c>
      <c r="B1364" s="1" t="s">
        <v>705</v>
      </c>
      <c r="C1364" s="2">
        <v>42.22</v>
      </c>
    </row>
    <row r="1365" spans="1:3" ht="11.25">
      <c r="A1365" s="1" t="str">
        <f>"86694"</f>
        <v>86694</v>
      </c>
      <c r="B1365" s="1" t="s">
        <v>5</v>
      </c>
      <c r="C1365" s="2">
        <v>35.29</v>
      </c>
    </row>
    <row r="1366" spans="1:3" ht="11.25">
      <c r="A1366" s="1" t="str">
        <f>"86695"</f>
        <v>86695</v>
      </c>
      <c r="B1366" s="1" t="s">
        <v>1010</v>
      </c>
      <c r="C1366" s="2">
        <v>37.75</v>
      </c>
    </row>
    <row r="1367" spans="1:3" ht="11.25">
      <c r="A1367" s="1" t="str">
        <f>"86696"</f>
        <v>86696</v>
      </c>
      <c r="B1367" s="1" t="s">
        <v>267</v>
      </c>
      <c r="C1367" s="2">
        <v>46.51</v>
      </c>
    </row>
    <row r="1368" spans="1:3" ht="11.25">
      <c r="A1368" s="1" t="str">
        <f>"86698"</f>
        <v>86698</v>
      </c>
      <c r="B1368" s="1" t="s">
        <v>1729</v>
      </c>
      <c r="C1368" s="2">
        <v>43.36</v>
      </c>
    </row>
    <row r="1369" spans="1:3" ht="11.25">
      <c r="A1369" s="1" t="str">
        <f>"86701"</f>
        <v>86701</v>
      </c>
      <c r="B1369" s="1" t="s">
        <v>845</v>
      </c>
      <c r="C1369" s="2">
        <v>21.85</v>
      </c>
    </row>
    <row r="1370" spans="1:3" ht="11.25">
      <c r="A1370" s="1" t="str">
        <f>"86702"</f>
        <v>86702</v>
      </c>
      <c r="B1370" s="1" t="s">
        <v>61</v>
      </c>
      <c r="C1370" s="2">
        <v>33.8</v>
      </c>
    </row>
    <row r="1371" spans="1:3" ht="11.25">
      <c r="A1371" s="1" t="str">
        <f>"86703"</f>
        <v>86703</v>
      </c>
      <c r="B1371" s="1" t="s">
        <v>1245</v>
      </c>
      <c r="C1371" s="2">
        <v>34.77</v>
      </c>
    </row>
    <row r="1372" spans="1:3" ht="11.25">
      <c r="A1372" s="1" t="str">
        <f>"86704"</f>
        <v>86704</v>
      </c>
      <c r="B1372" s="1" t="s">
        <v>736</v>
      </c>
      <c r="C1372" s="2">
        <v>23.05</v>
      </c>
    </row>
    <row r="1373" spans="1:3" ht="11.25">
      <c r="A1373" s="1" t="str">
        <f>"86705"</f>
        <v>86705</v>
      </c>
      <c r="B1373" s="1" t="s">
        <v>1227</v>
      </c>
      <c r="C1373" s="2">
        <v>28.28</v>
      </c>
    </row>
    <row r="1374" spans="1:3" ht="11.25">
      <c r="A1374" s="1" t="str">
        <f>"86706"</f>
        <v>86706</v>
      </c>
      <c r="B1374" s="1" t="s">
        <v>564</v>
      </c>
      <c r="C1374" s="2">
        <v>25.8</v>
      </c>
    </row>
    <row r="1375" spans="1:3" ht="11.25">
      <c r="A1375" s="1" t="str">
        <f>"86707"</f>
        <v>86707</v>
      </c>
      <c r="B1375" s="1" t="s">
        <v>1454</v>
      </c>
      <c r="C1375" s="2">
        <v>23.05</v>
      </c>
    </row>
    <row r="1376" spans="1:3" ht="11.25">
      <c r="A1376" s="1" t="str">
        <f>"86708"</f>
        <v>86708</v>
      </c>
      <c r="B1376" s="1" t="s">
        <v>399</v>
      </c>
      <c r="C1376" s="2">
        <v>29.77</v>
      </c>
    </row>
    <row r="1377" spans="1:3" ht="11.25">
      <c r="A1377" s="1" t="str">
        <f>"86709"</f>
        <v>86709</v>
      </c>
      <c r="B1377" s="1" t="s">
        <v>774</v>
      </c>
      <c r="C1377" s="2">
        <v>20.13</v>
      </c>
    </row>
    <row r="1378" spans="1:3" ht="11.25">
      <c r="A1378" s="1" t="str">
        <f>"86710"</f>
        <v>86710</v>
      </c>
      <c r="B1378" s="1" t="s">
        <v>578</v>
      </c>
      <c r="C1378" s="2">
        <v>60.17</v>
      </c>
    </row>
    <row r="1379" spans="1:3" ht="11.25">
      <c r="A1379" s="1" t="str">
        <f>"86713"</f>
        <v>86713</v>
      </c>
      <c r="B1379" s="1" t="s">
        <v>218</v>
      </c>
      <c r="C1379" s="2">
        <v>48.96</v>
      </c>
    </row>
    <row r="1380" spans="1:3" ht="11.25">
      <c r="A1380" s="1" t="str">
        <f>"86717"</f>
        <v>86717</v>
      </c>
      <c r="B1380" s="1" t="s">
        <v>966</v>
      </c>
      <c r="C1380" s="2">
        <v>19.42</v>
      </c>
    </row>
    <row r="1381" spans="1:3" ht="11.25">
      <c r="A1381" s="1" t="str">
        <f>"86720"</f>
        <v>86720</v>
      </c>
      <c r="B1381" s="1" t="s">
        <v>998</v>
      </c>
      <c r="C1381" s="2">
        <v>43.36</v>
      </c>
    </row>
    <row r="1382" spans="1:3" ht="11.25">
      <c r="A1382" s="1" t="str">
        <f>"86723"</f>
        <v>86723</v>
      </c>
      <c r="B1382" s="1" t="s">
        <v>1553</v>
      </c>
      <c r="C1382" s="2">
        <v>43.15</v>
      </c>
    </row>
    <row r="1383" spans="1:3" ht="11.25">
      <c r="A1383" s="1" t="str">
        <f>"86727"</f>
        <v>86727</v>
      </c>
      <c r="B1383" s="1" t="s">
        <v>1474</v>
      </c>
      <c r="C1383" s="2">
        <v>53.16</v>
      </c>
    </row>
    <row r="1384" spans="1:3" ht="11.25">
      <c r="A1384" s="1" t="str">
        <f>"86729"</f>
        <v>86729</v>
      </c>
      <c r="B1384" s="1" t="s">
        <v>1484</v>
      </c>
      <c r="C1384" s="2">
        <v>47.55</v>
      </c>
    </row>
    <row r="1385" spans="1:3" ht="11.25">
      <c r="A1385" s="1" t="str">
        <f>"86732"</f>
        <v>86732</v>
      </c>
      <c r="B1385" s="1" t="s">
        <v>892</v>
      </c>
      <c r="C1385" s="2">
        <v>43.15</v>
      </c>
    </row>
    <row r="1386" spans="1:3" ht="11.25">
      <c r="A1386" s="1" t="str">
        <f>"86735"</f>
        <v>86735</v>
      </c>
      <c r="B1386" s="1" t="s">
        <v>810</v>
      </c>
      <c r="C1386" s="2">
        <v>33.57</v>
      </c>
    </row>
    <row r="1387" spans="1:3" ht="11.25">
      <c r="A1387" s="1" t="str">
        <f>"86738"</f>
        <v>86738</v>
      </c>
      <c r="B1387" s="1" t="s">
        <v>1585</v>
      </c>
      <c r="C1387" s="2">
        <v>55.93</v>
      </c>
    </row>
    <row r="1388" spans="1:3" ht="11.25">
      <c r="A1388" s="1" t="str">
        <f>"86741"</f>
        <v>86741</v>
      </c>
      <c r="B1388" s="1" t="s">
        <v>268</v>
      </c>
      <c r="C1388" s="2">
        <v>53.16</v>
      </c>
    </row>
    <row r="1389" spans="1:3" ht="11.25">
      <c r="A1389" s="1" t="str">
        <f>"86744"</f>
        <v>86744</v>
      </c>
      <c r="B1389" s="1" t="s">
        <v>877</v>
      </c>
      <c r="C1389" s="2">
        <v>43.15</v>
      </c>
    </row>
    <row r="1390" spans="1:3" ht="11.25">
      <c r="A1390" s="1" t="str">
        <f>"86747"</f>
        <v>86747</v>
      </c>
      <c r="B1390" s="1" t="s">
        <v>502</v>
      </c>
      <c r="C1390" s="2">
        <v>64.35</v>
      </c>
    </row>
    <row r="1391" spans="1:3" ht="11.25">
      <c r="A1391" s="1" t="str">
        <f>"86750"</f>
        <v>86750</v>
      </c>
      <c r="B1391" s="1" t="s">
        <v>270</v>
      </c>
      <c r="C1391" s="2">
        <v>32.44</v>
      </c>
    </row>
    <row r="1392" spans="1:3" ht="11.25">
      <c r="A1392" s="1" t="str">
        <f>"86753"</f>
        <v>86753</v>
      </c>
      <c r="B1392" s="1" t="s">
        <v>1221</v>
      </c>
      <c r="C1392" s="2">
        <v>40.64</v>
      </c>
    </row>
    <row r="1393" spans="1:3" ht="11.25">
      <c r="A1393" s="1" t="str">
        <f>"86756"</f>
        <v>86756</v>
      </c>
      <c r="B1393" s="1" t="s">
        <v>950</v>
      </c>
      <c r="C1393" s="2">
        <v>43.34</v>
      </c>
    </row>
    <row r="1394" spans="1:3" ht="11.25">
      <c r="A1394" s="1" t="str">
        <f>"86757"</f>
        <v>86757</v>
      </c>
      <c r="B1394" s="1" t="s">
        <v>1607</v>
      </c>
      <c r="C1394" s="2">
        <v>46.51</v>
      </c>
    </row>
    <row r="1395" spans="1:3" ht="11.25">
      <c r="A1395" s="1" t="str">
        <f>"86759"</f>
        <v>86759</v>
      </c>
      <c r="B1395" s="1" t="s">
        <v>48</v>
      </c>
      <c r="C1395" s="2">
        <v>55.93</v>
      </c>
    </row>
    <row r="1396" spans="1:3" ht="11.25">
      <c r="A1396" s="1" t="str">
        <f>"86762"</f>
        <v>86762</v>
      </c>
      <c r="B1396" s="1" t="s">
        <v>469</v>
      </c>
      <c r="C1396" s="2">
        <v>35.29</v>
      </c>
    </row>
    <row r="1397" spans="1:3" ht="11.25">
      <c r="A1397" s="1" t="str">
        <f>"86765"</f>
        <v>86765</v>
      </c>
      <c r="B1397" s="1" t="s">
        <v>519</v>
      </c>
      <c r="C1397" s="2">
        <v>46.17</v>
      </c>
    </row>
    <row r="1398" spans="1:3" ht="11.25">
      <c r="A1398" s="1" t="str">
        <f>"86768"</f>
        <v>86768</v>
      </c>
      <c r="B1398" s="1" t="s">
        <v>356</v>
      </c>
      <c r="C1398" s="2">
        <v>43.15</v>
      </c>
    </row>
    <row r="1399" spans="1:3" ht="11.25">
      <c r="A1399" s="1" t="str">
        <f>"86771"</f>
        <v>86771</v>
      </c>
      <c r="B1399" s="1" t="s">
        <v>1139</v>
      </c>
      <c r="C1399" s="2">
        <v>66.91</v>
      </c>
    </row>
    <row r="1400" spans="1:3" ht="11.25">
      <c r="A1400" s="1" t="str">
        <f>"86774"</f>
        <v>86774</v>
      </c>
      <c r="B1400" s="1" t="s">
        <v>1625</v>
      </c>
      <c r="C1400" s="2">
        <v>51.75</v>
      </c>
    </row>
    <row r="1401" spans="1:3" ht="11.25">
      <c r="A1401" s="1" t="str">
        <f>"86777"</f>
        <v>86777</v>
      </c>
      <c r="B1401" s="1" t="s">
        <v>317</v>
      </c>
      <c r="C1401" s="2">
        <v>35.29</v>
      </c>
    </row>
    <row r="1402" spans="1:3" ht="11.25">
      <c r="A1402" s="1" t="str">
        <f>"86778"</f>
        <v>86778</v>
      </c>
      <c r="B1402" s="1" t="s">
        <v>1229</v>
      </c>
      <c r="C1402" s="2">
        <v>62.94</v>
      </c>
    </row>
    <row r="1403" spans="1:3" ht="11.25">
      <c r="A1403" s="1" t="str">
        <f>"86781"</f>
        <v>86781</v>
      </c>
      <c r="B1403" s="1" t="s">
        <v>1516</v>
      </c>
      <c r="C1403" s="2">
        <v>32.58</v>
      </c>
    </row>
    <row r="1404" spans="1:3" ht="11.25">
      <c r="A1404" s="1" t="str">
        <f>"86784"</f>
        <v>86784</v>
      </c>
      <c r="B1404" s="1" t="s">
        <v>99</v>
      </c>
      <c r="C1404" s="2">
        <v>43.36</v>
      </c>
    </row>
    <row r="1405" spans="1:3" ht="11.25">
      <c r="A1405" s="1" t="str">
        <f>"86787"</f>
        <v>86787</v>
      </c>
      <c r="B1405" s="1" t="s">
        <v>146</v>
      </c>
      <c r="C1405" s="2">
        <v>39.16</v>
      </c>
    </row>
    <row r="1406" spans="1:3" ht="11.25">
      <c r="A1406" s="1" t="str">
        <f>"86788"</f>
        <v>86788</v>
      </c>
      <c r="B1406" s="1" t="s">
        <v>1037</v>
      </c>
      <c r="C1406" s="2">
        <v>47.01</v>
      </c>
    </row>
    <row r="1407" spans="1:3" ht="11.25">
      <c r="A1407" s="1" t="str">
        <f>"86789"</f>
        <v>86789</v>
      </c>
      <c r="B1407" s="1" t="s">
        <v>893</v>
      </c>
      <c r="C1407" s="2">
        <v>40.15</v>
      </c>
    </row>
    <row r="1408" spans="1:3" ht="11.25">
      <c r="A1408" s="1" t="str">
        <f>"86790"</f>
        <v>86790</v>
      </c>
      <c r="B1408" s="1" t="s">
        <v>1322</v>
      </c>
      <c r="C1408" s="2">
        <v>66.91</v>
      </c>
    </row>
    <row r="1409" spans="1:3" ht="11.25">
      <c r="A1409" s="1" t="str">
        <f>"86793"</f>
        <v>86793</v>
      </c>
      <c r="B1409" s="1" t="s">
        <v>1398</v>
      </c>
      <c r="C1409" s="2">
        <v>61.56</v>
      </c>
    </row>
    <row r="1410" spans="1:3" ht="11.25">
      <c r="A1410" s="1" t="str">
        <f>"86800"</f>
        <v>86800</v>
      </c>
      <c r="B1410" s="1" t="s">
        <v>70</v>
      </c>
      <c r="C1410" s="2">
        <v>20.53</v>
      </c>
    </row>
    <row r="1411" spans="1:3" ht="11.25">
      <c r="A1411" s="1" t="str">
        <f>"86803"</f>
        <v>86803</v>
      </c>
      <c r="B1411" s="1" t="s">
        <v>1319</v>
      </c>
      <c r="C1411" s="2">
        <v>34.3</v>
      </c>
    </row>
    <row r="1412" spans="1:3" ht="11.25">
      <c r="A1412" s="1" t="str">
        <f>"86804"</f>
        <v>86804</v>
      </c>
      <c r="B1412" s="1" t="s">
        <v>787</v>
      </c>
      <c r="C1412" s="2">
        <v>37.21</v>
      </c>
    </row>
    <row r="1413" spans="1:3" ht="11.25">
      <c r="A1413" s="1" t="str">
        <f>"86805"</f>
        <v>86805</v>
      </c>
      <c r="B1413" s="1" t="s">
        <v>1259</v>
      </c>
      <c r="C1413" s="2">
        <v>128.62</v>
      </c>
    </row>
    <row r="1414" spans="1:3" ht="11.25">
      <c r="A1414" s="1" t="str">
        <f>"86806"</f>
        <v>86806</v>
      </c>
      <c r="B1414" s="1" t="s">
        <v>559</v>
      </c>
      <c r="C1414" s="2">
        <v>117.06</v>
      </c>
    </row>
    <row r="1415" spans="1:3" ht="11.25">
      <c r="A1415" s="1" t="str">
        <f>"86807"</f>
        <v>86807</v>
      </c>
      <c r="B1415" s="1" t="s">
        <v>1427</v>
      </c>
      <c r="C1415" s="2">
        <v>103.6</v>
      </c>
    </row>
    <row r="1416" spans="1:3" ht="11.25">
      <c r="A1416" s="1" t="str">
        <f>"86808"</f>
        <v>86808</v>
      </c>
      <c r="B1416" s="1" t="s">
        <v>349</v>
      </c>
      <c r="C1416" s="2">
        <v>73.02</v>
      </c>
    </row>
    <row r="1417" spans="1:3" ht="11.25">
      <c r="A1417" s="1" t="str">
        <f>"86812"</f>
        <v>86812</v>
      </c>
      <c r="B1417" s="1" t="s">
        <v>400</v>
      </c>
      <c r="C1417" s="2">
        <v>63.47</v>
      </c>
    </row>
    <row r="1418" spans="1:3" ht="11.25">
      <c r="A1418" s="1" t="str">
        <f>"86813"</f>
        <v>86813</v>
      </c>
      <c r="B1418" s="1" t="s">
        <v>1283</v>
      </c>
      <c r="C1418" s="2">
        <v>142.65</v>
      </c>
    </row>
    <row r="1419" spans="1:3" ht="11.25">
      <c r="A1419" s="1" t="str">
        <f>"86816"</f>
        <v>86816</v>
      </c>
      <c r="B1419" s="1" t="s">
        <v>174</v>
      </c>
      <c r="C1419" s="2">
        <v>68.53</v>
      </c>
    </row>
    <row r="1420" spans="1:3" ht="11.25">
      <c r="A1420" s="1" t="str">
        <f>"86817"</f>
        <v>86817</v>
      </c>
      <c r="B1420" s="1" t="s">
        <v>1643</v>
      </c>
      <c r="C1420" s="2">
        <v>158.39</v>
      </c>
    </row>
    <row r="1421" spans="1:3" ht="11.25">
      <c r="A1421" s="1" t="str">
        <f>"86821"</f>
        <v>86821</v>
      </c>
      <c r="B1421" s="1" t="s">
        <v>493</v>
      </c>
      <c r="C1421" s="2">
        <v>59.13</v>
      </c>
    </row>
    <row r="1422" spans="1:3" ht="11.25">
      <c r="A1422" s="1" t="str">
        <f>"86822"</f>
        <v>86822</v>
      </c>
      <c r="B1422" s="1" t="s">
        <v>1052</v>
      </c>
      <c r="C1422" s="2">
        <v>89.95</v>
      </c>
    </row>
    <row r="1423" spans="1:3" ht="11.25">
      <c r="A1423" s="1" t="str">
        <f>"86850"</f>
        <v>86850</v>
      </c>
      <c r="B1423" s="1" t="s">
        <v>1366</v>
      </c>
      <c r="C1423" s="2">
        <v>35.23</v>
      </c>
    </row>
    <row r="1424" spans="1:3" ht="11.25">
      <c r="A1424" s="1" t="str">
        <f>"86860"</f>
        <v>86860</v>
      </c>
      <c r="B1424" s="1" t="s">
        <v>342</v>
      </c>
      <c r="C1424" s="2">
        <v>35.23</v>
      </c>
    </row>
    <row r="1425" spans="1:3" ht="11.25">
      <c r="A1425" s="1" t="str">
        <f>"86870"</f>
        <v>86870</v>
      </c>
      <c r="B1425" s="1" t="s">
        <v>693</v>
      </c>
      <c r="C1425" s="2">
        <v>26.43</v>
      </c>
    </row>
    <row r="1426" spans="1:3" ht="11.25">
      <c r="A1426" s="1" t="str">
        <f>"86880"</f>
        <v>86880</v>
      </c>
      <c r="B1426" s="1" t="s">
        <v>610</v>
      </c>
      <c r="C1426" s="2">
        <v>14.07</v>
      </c>
    </row>
    <row r="1427" spans="1:3" ht="11.25">
      <c r="A1427" s="1" t="str">
        <f>"86885"</f>
        <v>86885</v>
      </c>
      <c r="B1427" s="1" t="s">
        <v>868</v>
      </c>
      <c r="C1427" s="2">
        <v>14.07</v>
      </c>
    </row>
    <row r="1428" spans="1:3" ht="11.25">
      <c r="A1428" s="1" t="str">
        <f>"86886"</f>
        <v>86886</v>
      </c>
      <c r="B1428" s="1" t="s">
        <v>1511</v>
      </c>
      <c r="C1428" s="2">
        <v>12.73</v>
      </c>
    </row>
    <row r="1429" spans="1:3" ht="11.25">
      <c r="A1429" s="1" t="str">
        <f>"86890"</f>
        <v>86890</v>
      </c>
      <c r="B1429" s="1" t="s">
        <v>287</v>
      </c>
      <c r="C1429" s="2">
        <v>39.47</v>
      </c>
    </row>
    <row r="1430" spans="1:3" ht="11.25">
      <c r="A1430" s="1" t="str">
        <f>"86900"</f>
        <v>86900</v>
      </c>
      <c r="B1430" s="1" t="s">
        <v>186</v>
      </c>
      <c r="C1430" s="2">
        <v>10.27</v>
      </c>
    </row>
    <row r="1431" spans="1:3" ht="11.25">
      <c r="A1431" s="1" t="str">
        <f>"86901"</f>
        <v>86901</v>
      </c>
      <c r="B1431" s="1" t="s">
        <v>345</v>
      </c>
      <c r="C1431" s="2">
        <v>7.4</v>
      </c>
    </row>
    <row r="1432" spans="1:3" ht="11.25">
      <c r="A1432" s="1" t="str">
        <f>"86903"</f>
        <v>86903</v>
      </c>
      <c r="B1432" s="1" t="s">
        <v>1347</v>
      </c>
      <c r="C1432" s="2">
        <v>23.24</v>
      </c>
    </row>
    <row r="1433" spans="1:3" ht="11.25">
      <c r="A1433" s="1" t="str">
        <f>"86904"</f>
        <v>86904</v>
      </c>
      <c r="B1433" s="1" t="s">
        <v>782</v>
      </c>
      <c r="C1433" s="2">
        <v>23.37</v>
      </c>
    </row>
    <row r="1434" spans="1:3" ht="11.25">
      <c r="A1434" s="1" t="str">
        <f>"86905"</f>
        <v>86905</v>
      </c>
      <c r="B1434" s="1" t="s">
        <v>1218</v>
      </c>
      <c r="C1434" s="2">
        <v>6.74</v>
      </c>
    </row>
    <row r="1435" spans="1:3" ht="11.25">
      <c r="A1435" s="1" t="str">
        <f>"86906"</f>
        <v>86906</v>
      </c>
      <c r="B1435" s="1" t="s">
        <v>496</v>
      </c>
      <c r="C1435" s="2">
        <v>19.08</v>
      </c>
    </row>
    <row r="1436" spans="1:3" ht="11.25">
      <c r="A1436" s="1" t="str">
        <f>"86920"</f>
        <v>86920</v>
      </c>
      <c r="B1436" s="1" t="s">
        <v>1156</v>
      </c>
      <c r="C1436" s="2">
        <v>56.38</v>
      </c>
    </row>
    <row r="1437" spans="1:3" ht="11.25">
      <c r="A1437" s="1" t="str">
        <f>"86921"</f>
        <v>86921</v>
      </c>
      <c r="B1437" s="1" t="s">
        <v>1677</v>
      </c>
      <c r="C1437" s="2">
        <v>16.84</v>
      </c>
    </row>
    <row r="1438" spans="1:3" ht="11.25">
      <c r="A1438" s="1" t="str">
        <f>"86922"</f>
        <v>86922</v>
      </c>
      <c r="B1438" s="1" t="s">
        <v>710</v>
      </c>
      <c r="C1438" s="2">
        <v>52.86</v>
      </c>
    </row>
    <row r="1439" spans="1:3" ht="11.25">
      <c r="A1439" s="1" t="str">
        <f>"86927"</f>
        <v>86927</v>
      </c>
      <c r="B1439" s="1" t="s">
        <v>1599</v>
      </c>
      <c r="C1439" s="2">
        <v>11.74</v>
      </c>
    </row>
    <row r="1440" spans="1:3" ht="11.25">
      <c r="A1440" s="1" t="str">
        <f>"86940"</f>
        <v>86940</v>
      </c>
      <c r="B1440" s="1" t="s">
        <v>1187</v>
      </c>
      <c r="C1440" s="2">
        <v>13.42</v>
      </c>
    </row>
    <row r="1441" spans="1:3" ht="11.25">
      <c r="A1441" s="1" t="str">
        <f>"86941"</f>
        <v>86941</v>
      </c>
      <c r="B1441" s="1" t="s">
        <v>969</v>
      </c>
      <c r="C1441" s="2">
        <v>19.82</v>
      </c>
    </row>
    <row r="1442" spans="1:3" ht="11.25">
      <c r="A1442" s="1" t="str">
        <f>"86945"</f>
        <v>86945</v>
      </c>
      <c r="B1442" s="1" t="s">
        <v>615</v>
      </c>
      <c r="C1442" s="2">
        <v>28.19</v>
      </c>
    </row>
    <row r="1443" spans="1:3" ht="11.25">
      <c r="A1443" s="1" t="str">
        <f>"86965"</f>
        <v>86965</v>
      </c>
      <c r="B1443" s="1" t="s">
        <v>1361</v>
      </c>
      <c r="C1443" s="2">
        <v>28.19</v>
      </c>
    </row>
    <row r="1444" spans="1:3" ht="11.25">
      <c r="A1444" s="1" t="str">
        <f>"86970"</f>
        <v>86970</v>
      </c>
      <c r="B1444" s="1" t="s">
        <v>1331</v>
      </c>
      <c r="C1444" s="2">
        <v>11.74</v>
      </c>
    </row>
    <row r="1445" spans="1:3" ht="11.25">
      <c r="A1445" s="1" t="str">
        <f>"86971"</f>
        <v>86971</v>
      </c>
      <c r="B1445" s="1" t="s">
        <v>6</v>
      </c>
      <c r="C1445" s="2">
        <v>21.14</v>
      </c>
    </row>
    <row r="1446" spans="1:3" ht="11.25">
      <c r="A1446" s="1" t="str">
        <f>"86975"</f>
        <v>86975</v>
      </c>
      <c r="B1446" s="1" t="s">
        <v>424</v>
      </c>
      <c r="C1446" s="2">
        <v>119.81</v>
      </c>
    </row>
    <row r="1447" spans="1:3" ht="11.25">
      <c r="A1447" s="1" t="str">
        <f>"86985"</f>
        <v>86985</v>
      </c>
      <c r="B1447" s="1" t="s">
        <v>582</v>
      </c>
      <c r="C1447" s="2">
        <v>52.86</v>
      </c>
    </row>
    <row r="1448" spans="1:3" ht="11.25">
      <c r="A1448" s="1" t="str">
        <f>"86999"</f>
        <v>86999</v>
      </c>
      <c r="B1448" s="1" t="s">
        <v>932</v>
      </c>
      <c r="C1448" s="2">
        <v>23.66</v>
      </c>
    </row>
    <row r="1449" spans="1:3" ht="11.25">
      <c r="A1449" s="1" t="str">
        <f>"87001"</f>
        <v>87001</v>
      </c>
      <c r="B1449" s="1" t="s">
        <v>1653</v>
      </c>
      <c r="C1449" s="2">
        <v>32.54</v>
      </c>
    </row>
    <row r="1450" spans="1:3" ht="11.25">
      <c r="A1450" s="1" t="str">
        <f>"87003"</f>
        <v>87003</v>
      </c>
      <c r="B1450" s="1" t="s">
        <v>1657</v>
      </c>
      <c r="C1450" s="2">
        <v>40.83</v>
      </c>
    </row>
    <row r="1451" spans="1:3" ht="11.25">
      <c r="A1451" s="1" t="str">
        <f>"87015"</f>
        <v>87015</v>
      </c>
      <c r="B1451" s="1" t="s">
        <v>887</v>
      </c>
      <c r="C1451" s="2">
        <v>16.42</v>
      </c>
    </row>
    <row r="1452" spans="1:3" ht="11.25">
      <c r="A1452" s="1" t="str">
        <f>"87040"</f>
        <v>87040</v>
      </c>
      <c r="B1452" s="1" t="s">
        <v>701</v>
      </c>
      <c r="C1452" s="2">
        <v>25.4</v>
      </c>
    </row>
    <row r="1453" spans="1:3" ht="11.25">
      <c r="A1453" s="1" t="str">
        <f>"87045"</f>
        <v>87045</v>
      </c>
      <c r="B1453" s="1" t="s">
        <v>706</v>
      </c>
      <c r="C1453" s="2">
        <v>23.21</v>
      </c>
    </row>
    <row r="1454" spans="1:3" ht="11.25">
      <c r="A1454" s="1" t="str">
        <f>"87046"</f>
        <v>87046</v>
      </c>
      <c r="B1454" s="1" t="s">
        <v>1061</v>
      </c>
      <c r="C1454" s="2">
        <v>5.67</v>
      </c>
    </row>
    <row r="1455" spans="1:3" ht="11.25">
      <c r="A1455" s="1" t="str">
        <f>"87070"</f>
        <v>87070</v>
      </c>
      <c r="B1455" s="1" t="s">
        <v>1469</v>
      </c>
      <c r="C1455" s="2">
        <v>19.9</v>
      </c>
    </row>
    <row r="1456" spans="1:3" ht="11.25">
      <c r="A1456" s="1" t="str">
        <f>"87071"</f>
        <v>87071</v>
      </c>
      <c r="B1456" s="1" t="s">
        <v>128</v>
      </c>
      <c r="C1456" s="2">
        <v>11.32</v>
      </c>
    </row>
    <row r="1457" spans="1:3" ht="11.25">
      <c r="A1457" s="1" t="str">
        <f>"87073"</f>
        <v>87073</v>
      </c>
      <c r="B1457" s="1" t="s">
        <v>140</v>
      </c>
      <c r="C1457" s="2">
        <v>11.32</v>
      </c>
    </row>
    <row r="1458" spans="1:3" ht="11.25">
      <c r="A1458" s="1" t="str">
        <f>"87075"</f>
        <v>87075</v>
      </c>
      <c r="B1458" s="1" t="s">
        <v>382</v>
      </c>
      <c r="C1458" s="2">
        <v>23.28</v>
      </c>
    </row>
    <row r="1459" spans="1:3" ht="11.25">
      <c r="A1459" s="1" t="str">
        <f>"87076"</f>
        <v>87076</v>
      </c>
      <c r="B1459" s="1" t="s">
        <v>590</v>
      </c>
      <c r="C1459" s="2">
        <v>21.17</v>
      </c>
    </row>
    <row r="1460" spans="1:3" ht="11.25">
      <c r="A1460" s="1" t="str">
        <f>"87077"</f>
        <v>87077</v>
      </c>
      <c r="B1460" s="1" t="s">
        <v>904</v>
      </c>
      <c r="C1460" s="2">
        <v>24.81</v>
      </c>
    </row>
    <row r="1461" spans="1:3" ht="11.25">
      <c r="A1461" s="1" t="str">
        <f>"87081"</f>
        <v>87081</v>
      </c>
      <c r="B1461" s="1" t="s">
        <v>1263</v>
      </c>
      <c r="C1461" s="2">
        <v>16.19</v>
      </c>
    </row>
    <row r="1462" spans="1:3" ht="11.25">
      <c r="A1462" s="1" t="str">
        <f>"87084"</f>
        <v>87084</v>
      </c>
      <c r="B1462" s="1" t="s">
        <v>168</v>
      </c>
      <c r="C1462" s="2">
        <v>21.17</v>
      </c>
    </row>
    <row r="1463" spans="1:3" ht="11.25">
      <c r="A1463" s="1" t="str">
        <f>"87086"</f>
        <v>87086</v>
      </c>
      <c r="B1463" s="1" t="s">
        <v>1008</v>
      </c>
      <c r="C1463" s="2">
        <v>19.57</v>
      </c>
    </row>
    <row r="1464" spans="1:3" ht="11.25">
      <c r="A1464" s="1" t="str">
        <f>"87088"</f>
        <v>87088</v>
      </c>
      <c r="B1464" s="1" t="s">
        <v>1026</v>
      </c>
      <c r="C1464" s="2">
        <v>19.9</v>
      </c>
    </row>
    <row r="1465" spans="1:3" ht="11.25">
      <c r="A1465" s="1" t="str">
        <f>"87101"</f>
        <v>87101</v>
      </c>
      <c r="B1465" s="1" t="s">
        <v>731</v>
      </c>
      <c r="C1465" s="2">
        <v>10.6</v>
      </c>
    </row>
    <row r="1466" spans="1:3" ht="11.25">
      <c r="A1466" s="1" t="str">
        <f>"87102"</f>
        <v>87102</v>
      </c>
      <c r="B1466" s="1" t="s">
        <v>206</v>
      </c>
      <c r="C1466" s="2">
        <v>19.9</v>
      </c>
    </row>
    <row r="1467" spans="1:3" ht="11.25">
      <c r="A1467" s="1" t="str">
        <f>"87103"</f>
        <v>87103</v>
      </c>
      <c r="B1467" s="1" t="s">
        <v>666</v>
      </c>
      <c r="C1467" s="2">
        <v>22.17</v>
      </c>
    </row>
    <row r="1468" spans="1:3" ht="11.25">
      <c r="A1468" s="1" t="str">
        <f>"87106"</f>
        <v>87106</v>
      </c>
      <c r="B1468" s="1" t="s">
        <v>946</v>
      </c>
      <c r="C1468" s="2">
        <v>25.4</v>
      </c>
    </row>
    <row r="1469" spans="1:3" ht="11.25">
      <c r="A1469" s="1" t="str">
        <f>"87107"</f>
        <v>87107</v>
      </c>
      <c r="B1469" s="1" t="s">
        <v>572</v>
      </c>
      <c r="C1469" s="2">
        <v>24.81</v>
      </c>
    </row>
    <row r="1470" spans="1:3" ht="11.25">
      <c r="A1470" s="1" t="str">
        <f>"87109"</f>
        <v>87109</v>
      </c>
      <c r="B1470" s="1" t="s">
        <v>941</v>
      </c>
      <c r="C1470" s="2">
        <v>37.85</v>
      </c>
    </row>
    <row r="1471" spans="1:3" ht="11.25">
      <c r="A1471" s="1" t="str">
        <f>"87110"</f>
        <v>87110</v>
      </c>
      <c r="B1471" s="1" t="s">
        <v>1430</v>
      </c>
      <c r="C1471" s="2">
        <v>21.82</v>
      </c>
    </row>
    <row r="1472" spans="1:3" ht="11.25">
      <c r="A1472" s="1" t="str">
        <f>"87116"</f>
        <v>87116</v>
      </c>
      <c r="B1472" s="1" t="s">
        <v>1708</v>
      </c>
      <c r="C1472" s="2">
        <v>26.52</v>
      </c>
    </row>
    <row r="1473" spans="1:3" ht="11.25">
      <c r="A1473" s="1" t="str">
        <f>"87118"</f>
        <v>87118</v>
      </c>
      <c r="B1473" s="1" t="s">
        <v>516</v>
      </c>
      <c r="C1473" s="2">
        <v>26.92</v>
      </c>
    </row>
    <row r="1474" spans="1:3" ht="11.25">
      <c r="A1474" s="1" t="str">
        <f>"87140"</f>
        <v>87140</v>
      </c>
      <c r="B1474" s="1" t="s">
        <v>427</v>
      </c>
      <c r="C1474" s="2">
        <v>13.75</v>
      </c>
    </row>
    <row r="1475" spans="1:3" ht="11.25">
      <c r="A1475" s="1" t="str">
        <f>"87143"</f>
        <v>87143</v>
      </c>
      <c r="B1475" s="1" t="s">
        <v>676</v>
      </c>
      <c r="C1475" s="2">
        <v>9.53</v>
      </c>
    </row>
    <row r="1476" spans="1:3" ht="11.25">
      <c r="A1476" s="1" t="str">
        <f>"87147"</f>
        <v>87147</v>
      </c>
      <c r="B1476" s="1" t="s">
        <v>1687</v>
      </c>
      <c r="C1476" s="2">
        <v>12.73</v>
      </c>
    </row>
    <row r="1477" spans="1:3" ht="11.25">
      <c r="A1477" s="1" t="str">
        <f>"87149"</f>
        <v>87149</v>
      </c>
      <c r="B1477" s="1" t="s">
        <v>691</v>
      </c>
      <c r="C1477" s="2">
        <v>48.18</v>
      </c>
    </row>
    <row r="1478" spans="1:3" ht="11.25">
      <c r="A1478" s="1" t="str">
        <f>"87152"</f>
        <v>87152</v>
      </c>
      <c r="B1478" s="1" t="s">
        <v>870</v>
      </c>
      <c r="C1478" s="2">
        <v>10.06</v>
      </c>
    </row>
    <row r="1479" spans="1:3" ht="11.25">
      <c r="A1479" s="1" t="str">
        <f>"87158"</f>
        <v>87158</v>
      </c>
      <c r="B1479" s="1" t="s">
        <v>1652</v>
      </c>
      <c r="C1479" s="2">
        <v>9.53</v>
      </c>
    </row>
    <row r="1480" spans="1:3" ht="11.25">
      <c r="A1480" s="1" t="str">
        <f>"87164"</f>
        <v>87164</v>
      </c>
      <c r="B1480" s="1" t="s">
        <v>645</v>
      </c>
      <c r="C1480" s="2">
        <v>10.6</v>
      </c>
    </row>
    <row r="1481" spans="1:3" ht="11.25">
      <c r="A1481" s="1" t="str">
        <f>"87166"</f>
        <v>87166</v>
      </c>
      <c r="B1481" s="1" t="s">
        <v>437</v>
      </c>
      <c r="C1481" s="2">
        <v>9.53</v>
      </c>
    </row>
    <row r="1482" spans="1:3" ht="11.25">
      <c r="A1482" s="1" t="str">
        <f>"87168"</f>
        <v>87168</v>
      </c>
      <c r="B1482" s="1" t="s">
        <v>956</v>
      </c>
      <c r="C1482" s="2">
        <v>9.87</v>
      </c>
    </row>
    <row r="1483" spans="1:3" ht="11.25">
      <c r="A1483" s="1" t="str">
        <f>"87169"</f>
        <v>87169</v>
      </c>
      <c r="B1483" s="1" t="s">
        <v>1081</v>
      </c>
      <c r="C1483" s="2">
        <v>9.87</v>
      </c>
    </row>
    <row r="1484" spans="1:3" ht="11.25">
      <c r="A1484" s="1" t="str">
        <f>"87172"</f>
        <v>87172</v>
      </c>
      <c r="B1484" s="1" t="s">
        <v>814</v>
      </c>
      <c r="C1484" s="2">
        <v>9.87</v>
      </c>
    </row>
    <row r="1485" spans="1:3" ht="11.25">
      <c r="A1485" s="1" t="str">
        <f>"87176"</f>
        <v>87176</v>
      </c>
      <c r="B1485" s="1" t="s">
        <v>1590</v>
      </c>
      <c r="C1485" s="2">
        <v>13.56</v>
      </c>
    </row>
    <row r="1486" spans="1:3" ht="11.25">
      <c r="A1486" s="1" t="str">
        <f>"87177"</f>
        <v>87177</v>
      </c>
      <c r="B1486" s="1" t="s">
        <v>47</v>
      </c>
      <c r="C1486" s="2">
        <v>21.17</v>
      </c>
    </row>
    <row r="1487" spans="1:3" ht="11.25">
      <c r="A1487" s="1" t="str">
        <f>"87181"</f>
        <v>87181</v>
      </c>
      <c r="B1487" s="1" t="s">
        <v>1646</v>
      </c>
      <c r="C1487" s="2">
        <v>11.67</v>
      </c>
    </row>
    <row r="1488" spans="1:3" ht="11.25">
      <c r="A1488" s="1" t="str">
        <f>"87184"</f>
        <v>87184</v>
      </c>
      <c r="B1488" s="1" t="s">
        <v>738</v>
      </c>
      <c r="C1488" s="2">
        <v>16.96</v>
      </c>
    </row>
    <row r="1489" spans="1:3" ht="11.25">
      <c r="A1489" s="1" t="str">
        <f>"87185"</f>
        <v>87185</v>
      </c>
      <c r="B1489" s="1" t="s">
        <v>1695</v>
      </c>
      <c r="C1489" s="2">
        <v>11.4</v>
      </c>
    </row>
    <row r="1490" spans="1:3" ht="11.25">
      <c r="A1490" s="1" t="str">
        <f>"87186"</f>
        <v>87186</v>
      </c>
      <c r="B1490" s="1" t="s">
        <v>1165</v>
      </c>
      <c r="C1490" s="2">
        <v>19.9</v>
      </c>
    </row>
    <row r="1491" spans="1:3" ht="11.25">
      <c r="A1491" s="1" t="str">
        <f>"87187"</f>
        <v>87187</v>
      </c>
      <c r="B1491" s="1" t="s">
        <v>661</v>
      </c>
      <c r="C1491" s="2">
        <v>25.51</v>
      </c>
    </row>
    <row r="1492" spans="1:3" ht="11.25">
      <c r="A1492" s="1" t="str">
        <f>"87188"</f>
        <v>87188</v>
      </c>
      <c r="B1492" s="1" t="s">
        <v>1531</v>
      </c>
      <c r="C1492" s="2">
        <v>16.31</v>
      </c>
    </row>
    <row r="1493" spans="1:3" ht="11.25">
      <c r="A1493" s="1" t="str">
        <f>"87190"</f>
        <v>87190</v>
      </c>
      <c r="B1493" s="1" t="s">
        <v>945</v>
      </c>
      <c r="C1493" s="2">
        <v>13.56</v>
      </c>
    </row>
    <row r="1494" spans="1:3" ht="11.25">
      <c r="A1494" s="1" t="str">
        <f>"87197"</f>
        <v>87197</v>
      </c>
      <c r="B1494" s="1" t="s">
        <v>188</v>
      </c>
      <c r="C1494" s="2">
        <v>36.95</v>
      </c>
    </row>
    <row r="1495" spans="1:3" ht="11.25">
      <c r="A1495" s="1" t="str">
        <f>"87205"</f>
        <v>87205</v>
      </c>
      <c r="B1495" s="1" t="s">
        <v>1605</v>
      </c>
      <c r="C1495" s="2">
        <v>10.5</v>
      </c>
    </row>
    <row r="1496" spans="1:3" ht="11.25">
      <c r="A1496" s="1" t="str">
        <f>"87206"</f>
        <v>87206</v>
      </c>
      <c r="B1496" s="1" t="s">
        <v>914</v>
      </c>
      <c r="C1496" s="2">
        <v>13.2</v>
      </c>
    </row>
    <row r="1497" spans="1:3" ht="11.25">
      <c r="A1497" s="1" t="str">
        <f>"87207"</f>
        <v>87207</v>
      </c>
      <c r="B1497" s="1" t="s">
        <v>513</v>
      </c>
      <c r="C1497" s="2">
        <v>10.81</v>
      </c>
    </row>
    <row r="1498" spans="1:3" ht="11.25">
      <c r="A1498" s="1" t="str">
        <f>"87209"</f>
        <v>87209</v>
      </c>
      <c r="B1498" s="1" t="s">
        <v>805</v>
      </c>
      <c r="C1498" s="2">
        <v>37.37</v>
      </c>
    </row>
    <row r="1499" spans="1:3" ht="11.25">
      <c r="A1499" s="1" t="str">
        <f>"87210"</f>
        <v>87210</v>
      </c>
      <c r="B1499" s="1" t="s">
        <v>134</v>
      </c>
      <c r="C1499" s="2">
        <v>9.32</v>
      </c>
    </row>
    <row r="1500" spans="1:3" ht="11.25">
      <c r="A1500" s="1" t="str">
        <f>"87220"</f>
        <v>87220</v>
      </c>
      <c r="B1500" s="1" t="s">
        <v>1596</v>
      </c>
      <c r="C1500" s="2">
        <v>10.5</v>
      </c>
    </row>
    <row r="1501" spans="1:3" ht="11.25">
      <c r="A1501" s="1" t="str">
        <f>"87230"</f>
        <v>87230</v>
      </c>
      <c r="B1501" s="1" t="s">
        <v>219</v>
      </c>
      <c r="C1501" s="2">
        <v>38.15</v>
      </c>
    </row>
    <row r="1502" spans="1:3" ht="11.25">
      <c r="A1502" s="1" t="str">
        <f>"87250"</f>
        <v>87250</v>
      </c>
      <c r="B1502" s="1" t="s">
        <v>394</v>
      </c>
      <c r="C1502" s="2">
        <v>48.12</v>
      </c>
    </row>
    <row r="1503" spans="1:3" ht="11.25">
      <c r="A1503" s="1" t="str">
        <f>"87252"</f>
        <v>87252</v>
      </c>
      <c r="B1503" s="1" t="s">
        <v>827</v>
      </c>
      <c r="C1503" s="2">
        <v>59.44</v>
      </c>
    </row>
    <row r="1504" spans="1:3" ht="11.25">
      <c r="A1504" s="1" t="str">
        <f>"87253"</f>
        <v>87253</v>
      </c>
      <c r="B1504" s="1" t="s">
        <v>443</v>
      </c>
      <c r="C1504" s="2">
        <v>41.09</v>
      </c>
    </row>
    <row r="1505" spans="1:3" ht="11.25">
      <c r="A1505" s="1" t="str">
        <f>"87254"</f>
        <v>87254</v>
      </c>
      <c r="B1505" s="1" t="s">
        <v>1514</v>
      </c>
      <c r="C1505" s="2">
        <v>11.74</v>
      </c>
    </row>
    <row r="1506" spans="1:3" ht="11.25">
      <c r="A1506" s="1" t="str">
        <f>"87255"</f>
        <v>87255</v>
      </c>
      <c r="B1506" s="1" t="s">
        <v>712</v>
      </c>
      <c r="C1506" s="2">
        <v>53.21</v>
      </c>
    </row>
    <row r="1507" spans="1:3" ht="11.25">
      <c r="A1507" s="1" t="str">
        <f>"87260"</f>
        <v>87260</v>
      </c>
      <c r="B1507" s="1" t="s">
        <v>627</v>
      </c>
      <c r="C1507" s="2">
        <v>28.83</v>
      </c>
    </row>
    <row r="1508" spans="1:3" ht="11.25">
      <c r="A1508" s="1" t="str">
        <f>"87265"</f>
        <v>87265</v>
      </c>
      <c r="B1508" s="1" t="s">
        <v>126</v>
      </c>
      <c r="C1508" s="2">
        <v>28.83</v>
      </c>
    </row>
    <row r="1509" spans="1:3" ht="11.25">
      <c r="A1509" s="1" t="str">
        <f>"87267"</f>
        <v>87267</v>
      </c>
      <c r="B1509" s="1" t="s">
        <v>1616</v>
      </c>
      <c r="C1509" s="2">
        <v>29.13</v>
      </c>
    </row>
    <row r="1510" spans="1:3" ht="11.25">
      <c r="A1510" s="1" t="str">
        <f>"87269"</f>
        <v>87269</v>
      </c>
      <c r="B1510" s="1" t="s">
        <v>808</v>
      </c>
      <c r="C1510" s="2">
        <v>29.13</v>
      </c>
    </row>
    <row r="1511" spans="1:3" ht="11.25">
      <c r="A1511" s="1" t="str">
        <f>"87270"</f>
        <v>87270</v>
      </c>
      <c r="B1511" s="1" t="s">
        <v>737</v>
      </c>
      <c r="C1511" s="2">
        <v>28.83</v>
      </c>
    </row>
    <row r="1512" spans="1:3" ht="11.25">
      <c r="A1512" s="1" t="str">
        <f>"87271"</f>
        <v>87271</v>
      </c>
      <c r="B1512" s="1" t="s">
        <v>1500</v>
      </c>
      <c r="C1512" s="2">
        <v>29.13</v>
      </c>
    </row>
    <row r="1513" spans="1:3" ht="11.25">
      <c r="A1513" s="1" t="str">
        <f>"87272"</f>
        <v>87272</v>
      </c>
      <c r="B1513" s="1" t="s">
        <v>63</v>
      </c>
      <c r="C1513" s="2">
        <v>28.83</v>
      </c>
    </row>
    <row r="1514" spans="1:3" ht="11.25">
      <c r="A1514" s="1" t="str">
        <f>"87273"</f>
        <v>87273</v>
      </c>
      <c r="B1514" s="1" t="s">
        <v>1395</v>
      </c>
      <c r="C1514" s="2">
        <v>28.83</v>
      </c>
    </row>
    <row r="1515" spans="1:3" ht="11.25">
      <c r="A1515" s="1" t="str">
        <f>"87274"</f>
        <v>87274</v>
      </c>
      <c r="B1515" s="1" t="s">
        <v>1270</v>
      </c>
      <c r="C1515" s="2">
        <v>28.83</v>
      </c>
    </row>
    <row r="1516" spans="1:3" ht="11.25">
      <c r="A1516" s="1" t="str">
        <f>"87275"</f>
        <v>87275</v>
      </c>
      <c r="B1516" s="1" t="s">
        <v>108</v>
      </c>
      <c r="C1516" s="2">
        <v>28.83</v>
      </c>
    </row>
    <row r="1517" spans="1:3" ht="11.25">
      <c r="A1517" s="1" t="str">
        <f>"87276"</f>
        <v>87276</v>
      </c>
      <c r="B1517" s="1" t="s">
        <v>599</v>
      </c>
      <c r="C1517" s="2">
        <v>28.83</v>
      </c>
    </row>
    <row r="1518" spans="1:3" ht="11.25">
      <c r="A1518" s="1" t="str">
        <f>"87277"</f>
        <v>87277</v>
      </c>
      <c r="B1518" s="1" t="s">
        <v>844</v>
      </c>
      <c r="C1518" s="2">
        <v>28.83</v>
      </c>
    </row>
    <row r="1519" spans="1:3" ht="11.25">
      <c r="A1519" s="1" t="str">
        <f>"87278"</f>
        <v>87278</v>
      </c>
      <c r="B1519" s="1" t="s">
        <v>978</v>
      </c>
      <c r="C1519" s="2">
        <v>28.83</v>
      </c>
    </row>
    <row r="1520" spans="1:3" ht="11.25">
      <c r="A1520" s="1" t="str">
        <f>"87279"</f>
        <v>87279</v>
      </c>
      <c r="B1520" s="1" t="s">
        <v>1493</v>
      </c>
      <c r="C1520" s="2">
        <v>28.83</v>
      </c>
    </row>
    <row r="1521" spans="1:3" ht="11.25">
      <c r="A1521" s="1" t="str">
        <f>"87280"</f>
        <v>87280</v>
      </c>
      <c r="B1521" s="1" t="s">
        <v>150</v>
      </c>
      <c r="C1521" s="2">
        <v>28.83</v>
      </c>
    </row>
    <row r="1522" spans="1:3" ht="11.25">
      <c r="A1522" s="1" t="str">
        <f>"87281"</f>
        <v>87281</v>
      </c>
      <c r="B1522" s="1" t="s">
        <v>429</v>
      </c>
      <c r="C1522" s="2">
        <v>28.83</v>
      </c>
    </row>
    <row r="1523" spans="1:3" ht="11.25">
      <c r="A1523" s="1" t="str">
        <f>"87283"</f>
        <v>87283</v>
      </c>
      <c r="B1523" s="1" t="s">
        <v>1412</v>
      </c>
      <c r="C1523" s="2">
        <v>28.83</v>
      </c>
    </row>
    <row r="1524" spans="1:3" ht="11.25">
      <c r="A1524" s="1" t="str">
        <f>"87285"</f>
        <v>87285</v>
      </c>
      <c r="B1524" s="1" t="s">
        <v>367</v>
      </c>
      <c r="C1524" s="2">
        <v>28.83</v>
      </c>
    </row>
    <row r="1525" spans="1:3" ht="11.25">
      <c r="A1525" s="1" t="str">
        <f>"87290"</f>
        <v>87290</v>
      </c>
      <c r="B1525" s="1" t="s">
        <v>468</v>
      </c>
      <c r="C1525" s="2">
        <v>28.83</v>
      </c>
    </row>
    <row r="1526" spans="1:3" ht="11.25">
      <c r="A1526" s="1" t="str">
        <f>"87299"</f>
        <v>87299</v>
      </c>
      <c r="B1526" s="1" t="s">
        <v>57</v>
      </c>
      <c r="C1526" s="2">
        <v>28.83</v>
      </c>
    </row>
    <row r="1527" spans="1:3" ht="11.25">
      <c r="A1527" s="1" t="str">
        <f>"87300"</f>
        <v>87300</v>
      </c>
      <c r="B1527" s="1" t="s">
        <v>1495</v>
      </c>
      <c r="C1527" s="2">
        <v>14.4</v>
      </c>
    </row>
    <row r="1528" spans="1:3" ht="11.25">
      <c r="A1528" s="1" t="str">
        <f>"87301"</f>
        <v>87301</v>
      </c>
      <c r="B1528" s="1" t="s">
        <v>915</v>
      </c>
      <c r="C1528" s="2">
        <v>28.83</v>
      </c>
    </row>
    <row r="1529" spans="1:3" ht="11.25">
      <c r="A1529" s="1" t="str">
        <f>"87305"</f>
        <v>87305</v>
      </c>
      <c r="B1529" s="1" t="s">
        <v>1548</v>
      </c>
      <c r="C1529" s="2">
        <v>33.47</v>
      </c>
    </row>
    <row r="1530" spans="1:3" ht="11.25">
      <c r="A1530" s="1" t="str">
        <f>"87320"</f>
        <v>87320</v>
      </c>
      <c r="B1530" s="1" t="s">
        <v>1233</v>
      </c>
      <c r="C1530" s="2">
        <v>28.83</v>
      </c>
    </row>
    <row r="1531" spans="1:3" ht="11.25">
      <c r="A1531" s="1" t="str">
        <f>"87324"</f>
        <v>87324</v>
      </c>
      <c r="B1531" s="1" t="s">
        <v>375</v>
      </c>
      <c r="C1531" s="2">
        <v>28.83</v>
      </c>
    </row>
    <row r="1532" spans="1:3" ht="11.25">
      <c r="A1532" s="1" t="str">
        <f>"87327"</f>
        <v>87327</v>
      </c>
      <c r="B1532" s="1" t="s">
        <v>1704</v>
      </c>
      <c r="C1532" s="2">
        <v>28.83</v>
      </c>
    </row>
    <row r="1533" spans="1:3" ht="11.25">
      <c r="A1533" s="1" t="str">
        <f>"87328"</f>
        <v>87328</v>
      </c>
      <c r="B1533" s="1" t="s">
        <v>192</v>
      </c>
      <c r="C1533" s="2">
        <v>28.83</v>
      </c>
    </row>
    <row r="1534" spans="1:3" ht="11.25">
      <c r="A1534" s="1" t="str">
        <f>"87329"</f>
        <v>87329</v>
      </c>
      <c r="B1534" s="1" t="s">
        <v>1431</v>
      </c>
      <c r="C1534" s="2">
        <v>29.13</v>
      </c>
    </row>
    <row r="1535" spans="1:3" ht="11.25">
      <c r="A1535" s="1" t="str">
        <f>"87332"</f>
        <v>87332</v>
      </c>
      <c r="B1535" s="1" t="s">
        <v>1033</v>
      </c>
      <c r="C1535" s="2">
        <v>28.83</v>
      </c>
    </row>
    <row r="1536" spans="1:3" ht="11.25">
      <c r="A1536" s="1" t="str">
        <f>"87335"</f>
        <v>87335</v>
      </c>
      <c r="B1536" s="1" t="s">
        <v>1688</v>
      </c>
      <c r="C1536" s="2">
        <v>28.83</v>
      </c>
    </row>
    <row r="1537" spans="1:3" ht="11.25">
      <c r="A1537" s="1" t="str">
        <f>"87336"</f>
        <v>87336</v>
      </c>
      <c r="B1537" s="1" t="s">
        <v>1219</v>
      </c>
      <c r="C1537" s="2">
        <v>28.83</v>
      </c>
    </row>
    <row r="1538" spans="1:3" ht="11.25">
      <c r="A1538" s="1" t="str">
        <f>"87338"</f>
        <v>87338</v>
      </c>
      <c r="B1538" s="1" t="s">
        <v>1719</v>
      </c>
      <c r="C1538" s="2">
        <v>38.95</v>
      </c>
    </row>
    <row r="1539" spans="1:3" ht="11.25">
      <c r="A1539" s="1" t="str">
        <f>"87339"</f>
        <v>87339</v>
      </c>
      <c r="B1539" s="1" t="s">
        <v>1176</v>
      </c>
      <c r="C1539" s="2">
        <v>28.83</v>
      </c>
    </row>
    <row r="1540" spans="1:3" ht="11.25">
      <c r="A1540" s="1" t="str">
        <f>"87340"</f>
        <v>87340</v>
      </c>
      <c r="B1540" s="1" t="s">
        <v>175</v>
      </c>
      <c r="C1540" s="2">
        <v>23.7</v>
      </c>
    </row>
    <row r="1541" spans="1:3" ht="11.25">
      <c r="A1541" s="1" t="str">
        <f>"87341"</f>
        <v>87341</v>
      </c>
      <c r="B1541" s="1" t="s">
        <v>918</v>
      </c>
      <c r="C1541" s="2">
        <v>23.7</v>
      </c>
    </row>
    <row r="1542" spans="1:3" ht="11.25">
      <c r="A1542" s="1" t="str">
        <f>"87350"</f>
        <v>87350</v>
      </c>
      <c r="B1542" s="1" t="s">
        <v>363</v>
      </c>
      <c r="C1542" s="2">
        <v>21.69</v>
      </c>
    </row>
    <row r="1543" spans="1:3" ht="11.25">
      <c r="A1543" s="1" t="str">
        <f>"87380"</f>
        <v>87380</v>
      </c>
      <c r="B1543" s="1" t="s">
        <v>716</v>
      </c>
      <c r="C1543" s="2">
        <v>39.45</v>
      </c>
    </row>
    <row r="1544" spans="1:3" ht="11.25">
      <c r="A1544" s="1" t="str">
        <f>"87385"</f>
        <v>87385</v>
      </c>
      <c r="B1544" s="1" t="s">
        <v>1190</v>
      </c>
      <c r="C1544" s="2">
        <v>28.83</v>
      </c>
    </row>
    <row r="1545" spans="1:3" ht="11.25">
      <c r="A1545" s="1" t="str">
        <f>"87390"</f>
        <v>87390</v>
      </c>
      <c r="B1545" s="1" t="s">
        <v>1074</v>
      </c>
      <c r="C1545" s="2">
        <v>42.37</v>
      </c>
    </row>
    <row r="1546" spans="1:3" ht="11.25">
      <c r="A1546" s="1" t="str">
        <f>"87391"</f>
        <v>87391</v>
      </c>
      <c r="B1546" s="1" t="s">
        <v>982</v>
      </c>
      <c r="C1546" s="2">
        <v>42.37</v>
      </c>
    </row>
    <row r="1547" spans="1:3" ht="11.25">
      <c r="A1547" s="1" t="str">
        <f>"87400"</f>
        <v>87400</v>
      </c>
      <c r="B1547" s="1" t="s">
        <v>1521</v>
      </c>
      <c r="C1547" s="2">
        <v>14.4</v>
      </c>
    </row>
    <row r="1548" spans="1:3" ht="11.25">
      <c r="A1548" s="1" t="str">
        <f>"87420"</f>
        <v>87420</v>
      </c>
      <c r="B1548" s="1" t="s">
        <v>881</v>
      </c>
      <c r="C1548" s="2">
        <v>28.83</v>
      </c>
    </row>
    <row r="1549" spans="1:3" ht="11.25">
      <c r="A1549" s="1" t="str">
        <f>"87425"</f>
        <v>87425</v>
      </c>
      <c r="B1549" s="1" t="s">
        <v>1277</v>
      </c>
      <c r="C1549" s="2">
        <v>28.83</v>
      </c>
    </row>
    <row r="1550" spans="1:3" ht="11.25">
      <c r="A1550" s="1" t="str">
        <f>"87427"</f>
        <v>87427</v>
      </c>
      <c r="B1550" s="1" t="s">
        <v>1077</v>
      </c>
      <c r="C1550" s="2">
        <v>28.83</v>
      </c>
    </row>
    <row r="1551" spans="1:3" ht="11.25">
      <c r="A1551" s="1" t="str">
        <f>"87430"</f>
        <v>87430</v>
      </c>
      <c r="B1551" s="1" t="s">
        <v>1199</v>
      </c>
      <c r="C1551" s="2">
        <v>28.83</v>
      </c>
    </row>
    <row r="1552" spans="1:3" ht="11.25">
      <c r="A1552" s="1" t="str">
        <f>"87449"</f>
        <v>87449</v>
      </c>
      <c r="B1552" s="1" t="s">
        <v>938</v>
      </c>
      <c r="C1552" s="2">
        <v>28.83</v>
      </c>
    </row>
    <row r="1553" spans="1:3" ht="11.25">
      <c r="A1553" s="1" t="str">
        <f>"87450"</f>
        <v>87450</v>
      </c>
      <c r="B1553" s="1" t="s">
        <v>1018</v>
      </c>
      <c r="C1553" s="2">
        <v>23.05</v>
      </c>
    </row>
    <row r="1554" spans="1:3" ht="11.25">
      <c r="A1554" s="1" t="str">
        <f>"87451"</f>
        <v>87451</v>
      </c>
      <c r="B1554" s="1" t="s">
        <v>307</v>
      </c>
      <c r="C1554" s="2">
        <v>23.05</v>
      </c>
    </row>
    <row r="1555" spans="1:3" ht="11.25">
      <c r="A1555" s="1" t="str">
        <f>"87470"</f>
        <v>87470</v>
      </c>
      <c r="B1555" s="1" t="s">
        <v>863</v>
      </c>
      <c r="C1555" s="2">
        <v>48.18</v>
      </c>
    </row>
    <row r="1556" spans="1:3" ht="11.25">
      <c r="A1556" s="1" t="str">
        <f>"87471"</f>
        <v>87471</v>
      </c>
      <c r="B1556" s="1" t="s">
        <v>1564</v>
      </c>
      <c r="C1556" s="2">
        <v>84.32</v>
      </c>
    </row>
    <row r="1557" spans="1:3" ht="11.25">
      <c r="A1557" s="1" t="str">
        <f>"87472"</f>
        <v>87472</v>
      </c>
      <c r="B1557" s="1" t="s">
        <v>695</v>
      </c>
      <c r="C1557" s="2">
        <v>102.92</v>
      </c>
    </row>
    <row r="1558" spans="1:3" ht="11.25">
      <c r="A1558" s="1" t="str">
        <f>"87475"</f>
        <v>87475</v>
      </c>
      <c r="B1558" s="1" t="s">
        <v>1305</v>
      </c>
      <c r="C1558" s="2">
        <v>48.18</v>
      </c>
    </row>
    <row r="1559" spans="1:3" ht="11.25">
      <c r="A1559" s="1" t="str">
        <f>"87476"</f>
        <v>87476</v>
      </c>
      <c r="B1559" s="1" t="s">
        <v>393</v>
      </c>
      <c r="C1559" s="2">
        <v>84.32</v>
      </c>
    </row>
    <row r="1560" spans="1:3" ht="11.25">
      <c r="A1560" s="1" t="str">
        <f>"87480"</f>
        <v>87480</v>
      </c>
      <c r="B1560" s="1" t="s">
        <v>499</v>
      </c>
      <c r="C1560" s="2">
        <v>48.18</v>
      </c>
    </row>
    <row r="1561" spans="1:3" ht="11.25">
      <c r="A1561" s="1" t="str">
        <f>"87481"</f>
        <v>87481</v>
      </c>
      <c r="B1561" s="1" t="s">
        <v>1580</v>
      </c>
      <c r="C1561" s="2">
        <v>84.32</v>
      </c>
    </row>
    <row r="1562" spans="1:3" ht="11.25">
      <c r="A1562" s="1" t="str">
        <f>"87485"</f>
        <v>87485</v>
      </c>
      <c r="B1562" s="1" t="s">
        <v>217</v>
      </c>
      <c r="C1562" s="2">
        <v>48.18</v>
      </c>
    </row>
    <row r="1563" spans="1:3" ht="11.25">
      <c r="A1563" s="1" t="str">
        <f>"87486"</f>
        <v>87486</v>
      </c>
      <c r="B1563" s="1" t="s">
        <v>1740</v>
      </c>
      <c r="C1563" s="2">
        <v>84.32</v>
      </c>
    </row>
    <row r="1564" spans="1:3" ht="11.25">
      <c r="A1564" s="1" t="str">
        <f>"87490"</f>
        <v>87490</v>
      </c>
      <c r="B1564" s="1" t="s">
        <v>1223</v>
      </c>
      <c r="C1564" s="2">
        <v>48.18</v>
      </c>
    </row>
    <row r="1565" spans="1:3" ht="11.25">
      <c r="A1565" s="1" t="str">
        <f>"87491"</f>
        <v>87491</v>
      </c>
      <c r="B1565" s="1" t="s">
        <v>366</v>
      </c>
      <c r="C1565" s="2">
        <v>113.94</v>
      </c>
    </row>
    <row r="1566" spans="1:3" ht="11.25">
      <c r="A1566" s="1" t="str">
        <f>"87495"</f>
        <v>87495</v>
      </c>
      <c r="B1566" s="1" t="s">
        <v>1489</v>
      </c>
      <c r="C1566" s="2">
        <v>48.18</v>
      </c>
    </row>
    <row r="1567" spans="1:3" ht="11.25">
      <c r="A1567" s="1" t="str">
        <f>"87496"</f>
        <v>87496</v>
      </c>
      <c r="B1567" s="1" t="s">
        <v>1155</v>
      </c>
      <c r="C1567" s="2">
        <v>84.32</v>
      </c>
    </row>
    <row r="1568" spans="1:3" ht="11.25">
      <c r="A1568" s="1" t="str">
        <f>"87497"</f>
        <v>87497</v>
      </c>
      <c r="B1568" s="1" t="s">
        <v>234</v>
      </c>
      <c r="C1568" s="2">
        <v>209.18</v>
      </c>
    </row>
    <row r="1569" spans="1:3" ht="11.25">
      <c r="A1569" s="1" t="str">
        <f>"87498"</f>
        <v>87498</v>
      </c>
      <c r="B1569" s="1" t="s">
        <v>1702</v>
      </c>
      <c r="C1569" s="2">
        <v>97.92</v>
      </c>
    </row>
    <row r="1570" spans="1:3" ht="11.25">
      <c r="A1570" s="1" t="str">
        <f>"87500"</f>
        <v>87500</v>
      </c>
      <c r="B1570" s="1" t="s">
        <v>1496</v>
      </c>
      <c r="C1570" s="2">
        <v>48.18</v>
      </c>
    </row>
    <row r="1571" spans="1:3" ht="11.25">
      <c r="A1571" s="1" t="str">
        <f>"87510"</f>
        <v>87510</v>
      </c>
      <c r="B1571" s="1" t="s">
        <v>816</v>
      </c>
      <c r="C1571" s="2">
        <v>48.18</v>
      </c>
    </row>
    <row r="1572" spans="1:3" ht="11.25">
      <c r="A1572" s="1" t="str">
        <f>"87511"</f>
        <v>87511</v>
      </c>
      <c r="B1572" s="1" t="s">
        <v>1194</v>
      </c>
      <c r="C1572" s="2">
        <v>84.32</v>
      </c>
    </row>
    <row r="1573" spans="1:3" ht="11.25">
      <c r="A1573" s="1" t="str">
        <f>"87512"</f>
        <v>87512</v>
      </c>
      <c r="B1573" s="1" t="s">
        <v>1236</v>
      </c>
      <c r="C1573" s="2">
        <v>100.29</v>
      </c>
    </row>
    <row r="1574" spans="1:3" ht="11.25">
      <c r="A1574" s="1" t="str">
        <f>"87515"</f>
        <v>87515</v>
      </c>
      <c r="B1574" s="1" t="s">
        <v>1561</v>
      </c>
      <c r="C1574" s="2">
        <v>48.18</v>
      </c>
    </row>
    <row r="1575" spans="1:3" ht="11.25">
      <c r="A1575" s="1" t="str">
        <f>"87516"</f>
        <v>87516</v>
      </c>
      <c r="B1575" s="1" t="s">
        <v>1491</v>
      </c>
      <c r="C1575" s="2">
        <v>84.32</v>
      </c>
    </row>
    <row r="1576" spans="1:3" ht="11.25">
      <c r="A1576" s="1" t="str">
        <f>"87517"</f>
        <v>87517</v>
      </c>
      <c r="B1576" s="1" t="s">
        <v>968</v>
      </c>
      <c r="C1576" s="2">
        <v>102.92</v>
      </c>
    </row>
    <row r="1577" spans="1:3" ht="11.25">
      <c r="A1577" s="1" t="str">
        <f>"87521"</f>
        <v>87521</v>
      </c>
      <c r="B1577" s="1" t="s">
        <v>1189</v>
      </c>
      <c r="C1577" s="2">
        <v>84.32</v>
      </c>
    </row>
    <row r="1578" spans="1:3" ht="11.25">
      <c r="A1578" s="1" t="str">
        <f>"87522"</f>
        <v>87522</v>
      </c>
      <c r="B1578" s="1" t="s">
        <v>471</v>
      </c>
      <c r="C1578" s="2">
        <v>209.18</v>
      </c>
    </row>
    <row r="1579" spans="1:3" ht="11.25">
      <c r="A1579" s="1" t="str">
        <f>"87525"</f>
        <v>87525</v>
      </c>
      <c r="B1579" s="1" t="s">
        <v>704</v>
      </c>
      <c r="C1579" s="2">
        <v>48.18</v>
      </c>
    </row>
    <row r="1580" spans="1:3" ht="11.25">
      <c r="A1580" s="1" t="str">
        <f>"87526"</f>
        <v>87526</v>
      </c>
      <c r="B1580" s="1" t="s">
        <v>928</v>
      </c>
      <c r="C1580" s="2">
        <v>84.32</v>
      </c>
    </row>
    <row r="1581" spans="1:3" ht="11.25">
      <c r="A1581" s="1" t="str">
        <f>"87527"</f>
        <v>87527</v>
      </c>
      <c r="B1581" s="1" t="s">
        <v>1539</v>
      </c>
      <c r="C1581" s="2">
        <v>100.76</v>
      </c>
    </row>
    <row r="1582" spans="1:3" ht="11.25">
      <c r="A1582" s="1" t="str">
        <f>"87528"</f>
        <v>87528</v>
      </c>
      <c r="B1582" s="1" t="s">
        <v>1337</v>
      </c>
      <c r="C1582" s="2">
        <v>48.18</v>
      </c>
    </row>
    <row r="1583" spans="1:3" ht="11.25">
      <c r="A1583" s="1" t="str">
        <f>"87529"</f>
        <v>87529</v>
      </c>
      <c r="B1583" s="1" t="s">
        <v>93</v>
      </c>
      <c r="C1583" s="2">
        <v>84.32</v>
      </c>
    </row>
    <row r="1584" spans="1:3" ht="11.25">
      <c r="A1584" s="1" t="str">
        <f>"87530"</f>
        <v>87530</v>
      </c>
      <c r="B1584" s="1" t="s">
        <v>1503</v>
      </c>
      <c r="C1584" s="2">
        <v>102.92</v>
      </c>
    </row>
    <row r="1585" spans="1:3" ht="11.25">
      <c r="A1585" s="1" t="str">
        <f>"87531"</f>
        <v>87531</v>
      </c>
      <c r="B1585" s="1" t="s">
        <v>1118</v>
      </c>
      <c r="C1585" s="2">
        <v>48.18</v>
      </c>
    </row>
    <row r="1586" spans="1:3" ht="11.25">
      <c r="A1586" s="1" t="str">
        <f>"87532"</f>
        <v>87532</v>
      </c>
      <c r="B1586" s="1" t="s">
        <v>1078</v>
      </c>
      <c r="C1586" s="2">
        <v>84.32</v>
      </c>
    </row>
    <row r="1587" spans="1:3" ht="11.25">
      <c r="A1587" s="1" t="str">
        <f>"87534"</f>
        <v>87534</v>
      </c>
      <c r="B1587" s="1" t="s">
        <v>1326</v>
      </c>
      <c r="C1587" s="2">
        <v>48.18</v>
      </c>
    </row>
    <row r="1588" spans="1:3" ht="11.25">
      <c r="A1588" s="1" t="str">
        <f>"87535"</f>
        <v>87535</v>
      </c>
      <c r="B1588" s="1" t="s">
        <v>1192</v>
      </c>
      <c r="C1588" s="2">
        <v>84.32</v>
      </c>
    </row>
    <row r="1589" spans="1:3" ht="11.25">
      <c r="A1589" s="1" t="str">
        <f>"87536"</f>
        <v>87536</v>
      </c>
      <c r="B1589" s="1" t="s">
        <v>734</v>
      </c>
      <c r="C1589" s="2">
        <v>209.2</v>
      </c>
    </row>
    <row r="1590" spans="1:3" ht="11.25">
      <c r="A1590" s="1" t="str">
        <f>"87537"</f>
        <v>87537</v>
      </c>
      <c r="B1590" s="1" t="s">
        <v>1276</v>
      </c>
      <c r="C1590" s="2">
        <v>48.18</v>
      </c>
    </row>
    <row r="1591" spans="1:3" ht="11.25">
      <c r="A1591" s="1" t="str">
        <f>"87538"</f>
        <v>87538</v>
      </c>
      <c r="B1591" s="1" t="s">
        <v>1056</v>
      </c>
      <c r="C1591" s="2">
        <v>84.32</v>
      </c>
    </row>
    <row r="1592" spans="1:3" ht="11.25">
      <c r="A1592" s="1" t="str">
        <f>"87540"</f>
        <v>87540</v>
      </c>
      <c r="B1592" s="1" t="s">
        <v>652</v>
      </c>
      <c r="C1592" s="2">
        <v>48.18</v>
      </c>
    </row>
    <row r="1593" spans="1:3" ht="11.25">
      <c r="A1593" s="1" t="str">
        <f>"87541"</f>
        <v>87541</v>
      </c>
      <c r="B1593" s="1" t="s">
        <v>601</v>
      </c>
      <c r="C1593" s="2">
        <v>84.32</v>
      </c>
    </row>
    <row r="1594" spans="1:3" ht="11.25">
      <c r="A1594" s="1" t="str">
        <f>"87550"</f>
        <v>87550</v>
      </c>
      <c r="B1594" s="1" t="s">
        <v>847</v>
      </c>
      <c r="C1594" s="2">
        <v>48.18</v>
      </c>
    </row>
    <row r="1595" spans="1:3" ht="11.25">
      <c r="A1595" s="1" t="str">
        <f>"87551"</f>
        <v>87551</v>
      </c>
      <c r="B1595" s="1" t="s">
        <v>103</v>
      </c>
      <c r="C1595" s="2">
        <v>84.32</v>
      </c>
    </row>
    <row r="1596" spans="1:3" ht="11.25">
      <c r="A1596" s="1" t="str">
        <f>"87555"</f>
        <v>87555</v>
      </c>
      <c r="B1596" s="1" t="s">
        <v>24</v>
      </c>
      <c r="C1596" s="2">
        <v>48.18</v>
      </c>
    </row>
    <row r="1597" spans="1:3" ht="11.25">
      <c r="A1597" s="1" t="str">
        <f>"87556"</f>
        <v>87556</v>
      </c>
      <c r="B1597" s="1" t="s">
        <v>211</v>
      </c>
      <c r="C1597" s="2">
        <v>84.32</v>
      </c>
    </row>
    <row r="1598" spans="1:3" ht="11.25">
      <c r="A1598" s="1" t="str">
        <f>"87560"</f>
        <v>87560</v>
      </c>
      <c r="B1598" s="1" t="s">
        <v>1278</v>
      </c>
      <c r="C1598" s="2">
        <v>48.18</v>
      </c>
    </row>
    <row r="1599" spans="1:3" ht="11.25">
      <c r="A1599" s="1" t="str">
        <f>"87561"</f>
        <v>87561</v>
      </c>
      <c r="B1599" s="1" t="s">
        <v>1225</v>
      </c>
      <c r="C1599" s="2">
        <v>84.32</v>
      </c>
    </row>
    <row r="1600" spans="1:3" ht="11.25">
      <c r="A1600" s="1" t="str">
        <f>"87562"</f>
        <v>87562</v>
      </c>
      <c r="B1600" s="1" t="s">
        <v>1153</v>
      </c>
      <c r="C1600" s="2">
        <v>102.92</v>
      </c>
    </row>
    <row r="1601" spans="1:3" ht="11.25">
      <c r="A1601" s="1" t="str">
        <f>"87580"</f>
        <v>87580</v>
      </c>
      <c r="B1601" s="1" t="s">
        <v>4</v>
      </c>
      <c r="C1601" s="2">
        <v>48.18</v>
      </c>
    </row>
    <row r="1602" spans="1:3" ht="11.25">
      <c r="A1602" s="1" t="str">
        <f>"87581"</f>
        <v>87581</v>
      </c>
      <c r="B1602" s="1" t="s">
        <v>942</v>
      </c>
      <c r="C1602" s="2">
        <v>84.32</v>
      </c>
    </row>
    <row r="1603" spans="1:3" ht="11.25">
      <c r="A1603" s="1" t="str">
        <f>"87590"</f>
        <v>87590</v>
      </c>
      <c r="B1603" s="1" t="s">
        <v>1323</v>
      </c>
      <c r="C1603" s="2">
        <v>48.18</v>
      </c>
    </row>
    <row r="1604" spans="1:3" ht="11.25">
      <c r="A1604" s="1" t="str">
        <f>"87591"</f>
        <v>87591</v>
      </c>
      <c r="B1604" s="1" t="s">
        <v>430</v>
      </c>
      <c r="C1604" s="2">
        <v>113.94</v>
      </c>
    </row>
    <row r="1605" spans="1:3" ht="11.25">
      <c r="A1605" s="1" t="str">
        <f>"87620"</f>
        <v>87620</v>
      </c>
      <c r="B1605" s="1" t="s">
        <v>1728</v>
      </c>
      <c r="C1605" s="2">
        <v>48.18</v>
      </c>
    </row>
    <row r="1606" spans="1:3" ht="11.25">
      <c r="A1606" s="1" t="str">
        <f>"87621"</f>
        <v>87621</v>
      </c>
      <c r="B1606" s="1" t="s">
        <v>668</v>
      </c>
      <c r="C1606" s="2">
        <v>84.32</v>
      </c>
    </row>
    <row r="1607" spans="1:3" ht="11.25">
      <c r="A1607" s="1" t="str">
        <f>"87640"</f>
        <v>87640</v>
      </c>
      <c r="B1607" s="1" t="s">
        <v>809</v>
      </c>
      <c r="C1607" s="2">
        <v>97.92</v>
      </c>
    </row>
    <row r="1608" spans="1:3" ht="11.25">
      <c r="A1608" s="1" t="str">
        <f>"87641"</f>
        <v>87641</v>
      </c>
      <c r="B1608" s="1" t="s">
        <v>1129</v>
      </c>
      <c r="C1608" s="2">
        <v>97.92</v>
      </c>
    </row>
    <row r="1609" spans="1:3" ht="11.25">
      <c r="A1609" s="1" t="str">
        <f>"87650"</f>
        <v>87650</v>
      </c>
      <c r="B1609" s="1" t="s">
        <v>635</v>
      </c>
      <c r="C1609" s="2">
        <v>48.18</v>
      </c>
    </row>
    <row r="1610" spans="1:3" ht="11.25">
      <c r="A1610" s="1" t="str">
        <f>"87651"</f>
        <v>87651</v>
      </c>
      <c r="B1610" s="1" t="s">
        <v>1226</v>
      </c>
      <c r="C1610" s="2">
        <v>84.32</v>
      </c>
    </row>
    <row r="1611" spans="1:3" ht="11.25">
      <c r="A1611" s="1" t="str">
        <f>"87653"</f>
        <v>87653</v>
      </c>
      <c r="B1611" s="1" t="s">
        <v>1433</v>
      </c>
      <c r="C1611" s="2">
        <v>97.92</v>
      </c>
    </row>
    <row r="1612" spans="1:3" ht="11.25">
      <c r="A1612" s="1" t="str">
        <f>"87660"</f>
        <v>87660</v>
      </c>
      <c r="B1612" s="1" t="s">
        <v>328</v>
      </c>
      <c r="C1612" s="2">
        <v>48.69</v>
      </c>
    </row>
    <row r="1613" spans="1:3" ht="11.25">
      <c r="A1613" s="1" t="str">
        <f>"87797"</f>
        <v>87797</v>
      </c>
      <c r="B1613" s="1" t="s">
        <v>1099</v>
      </c>
      <c r="C1613" s="2">
        <v>48.18</v>
      </c>
    </row>
    <row r="1614" spans="1:3" ht="11.25">
      <c r="A1614" s="1" t="str">
        <f>"87798"</f>
        <v>87798</v>
      </c>
      <c r="B1614" s="1" t="s">
        <v>670</v>
      </c>
      <c r="C1614" s="2">
        <v>84.32</v>
      </c>
    </row>
    <row r="1615" spans="1:3" ht="11.25">
      <c r="A1615" s="1" t="str">
        <f>"87799"</f>
        <v>87799</v>
      </c>
      <c r="B1615" s="1" t="s">
        <v>988</v>
      </c>
      <c r="C1615" s="2">
        <v>40.17</v>
      </c>
    </row>
    <row r="1616" spans="1:3" ht="11.25">
      <c r="A1616" s="1" t="str">
        <f>"87800"</f>
        <v>87800</v>
      </c>
      <c r="B1616" s="1" t="s">
        <v>1349</v>
      </c>
      <c r="C1616" s="2">
        <v>48.18</v>
      </c>
    </row>
    <row r="1617" spans="1:3" ht="11.25">
      <c r="A1617" s="1" t="str">
        <f>"87801"</f>
        <v>87801</v>
      </c>
      <c r="B1617" s="1" t="s">
        <v>1415</v>
      </c>
      <c r="C1617" s="2">
        <v>84.32</v>
      </c>
    </row>
    <row r="1618" spans="1:3" ht="11.25">
      <c r="A1618" s="1" t="str">
        <f>"87802"</f>
        <v>87802</v>
      </c>
      <c r="B1618" s="1" t="s">
        <v>551</v>
      </c>
      <c r="C1618" s="2">
        <v>28.83</v>
      </c>
    </row>
    <row r="1619" spans="1:3" ht="11.25">
      <c r="A1619" s="1" t="str">
        <f>"87803"</f>
        <v>87803</v>
      </c>
      <c r="B1619" s="1" t="s">
        <v>1257</v>
      </c>
      <c r="C1619" s="2">
        <v>28.83</v>
      </c>
    </row>
    <row r="1620" spans="1:3" ht="11.25">
      <c r="A1620" s="1" t="str">
        <f>"87804"</f>
        <v>87804</v>
      </c>
      <c r="B1620" s="1" t="s">
        <v>154</v>
      </c>
      <c r="C1620" s="2">
        <v>28.83</v>
      </c>
    </row>
    <row r="1621" spans="1:3" ht="11.25">
      <c r="A1621" s="1" t="str">
        <f>"87807"</f>
        <v>87807</v>
      </c>
      <c r="B1621" s="1" t="s">
        <v>1088</v>
      </c>
      <c r="C1621" s="2">
        <v>29.13</v>
      </c>
    </row>
    <row r="1622" spans="1:3" ht="11.25">
      <c r="A1622" s="1" t="str">
        <f>"87808"</f>
        <v>87808</v>
      </c>
      <c r="B1622" s="1" t="s">
        <v>1595</v>
      </c>
      <c r="C1622" s="2">
        <v>33.47</v>
      </c>
    </row>
    <row r="1623" spans="1:3" ht="11.25">
      <c r="A1623" s="1" t="str">
        <f>"87809"</f>
        <v>87809</v>
      </c>
      <c r="B1623" s="1" t="s">
        <v>629</v>
      </c>
      <c r="C1623" s="2">
        <v>28.83</v>
      </c>
    </row>
    <row r="1624" spans="1:3" ht="11.25">
      <c r="A1624" s="1" t="str">
        <f>"87810"</f>
        <v>87810</v>
      </c>
      <c r="B1624" s="1" t="s">
        <v>1732</v>
      </c>
      <c r="C1624" s="2">
        <v>28.83</v>
      </c>
    </row>
    <row r="1625" spans="1:3" ht="11.25">
      <c r="A1625" s="1" t="str">
        <f>"87850"</f>
        <v>87850</v>
      </c>
      <c r="B1625" s="1" t="s">
        <v>68</v>
      </c>
      <c r="C1625" s="2">
        <v>28.83</v>
      </c>
    </row>
    <row r="1626" spans="1:3" ht="11.25">
      <c r="A1626" s="1" t="str">
        <f>"87880"</f>
        <v>87880</v>
      </c>
      <c r="B1626" s="1" t="s">
        <v>330</v>
      </c>
      <c r="C1626" s="2">
        <v>28.83</v>
      </c>
    </row>
    <row r="1627" spans="1:3" ht="11.25">
      <c r="A1627" s="1" t="str">
        <f>"87899"</f>
        <v>87899</v>
      </c>
      <c r="B1627" s="1" t="s">
        <v>626</v>
      </c>
      <c r="C1627" s="2">
        <v>28.83</v>
      </c>
    </row>
    <row r="1628" spans="1:3" ht="11.25">
      <c r="A1628" s="1" t="str">
        <f>"87900"</f>
        <v>87900</v>
      </c>
      <c r="B1628" s="1" t="s">
        <v>1090</v>
      </c>
      <c r="C1628" s="2">
        <v>180.71</v>
      </c>
    </row>
    <row r="1629" spans="1:3" ht="11.25">
      <c r="A1629" s="1" t="str">
        <f>"87901"</f>
        <v>87901</v>
      </c>
      <c r="B1629" s="1" t="s">
        <v>51</v>
      </c>
      <c r="C1629" s="2">
        <v>618.5</v>
      </c>
    </row>
    <row r="1630" spans="1:3" ht="11.25">
      <c r="A1630" s="1" t="str">
        <f>"87902"</f>
        <v>87902</v>
      </c>
      <c r="B1630" s="1" t="s">
        <v>1006</v>
      </c>
      <c r="C1630" s="2">
        <v>618.5</v>
      </c>
    </row>
    <row r="1631" spans="1:3" ht="11.25">
      <c r="A1631" s="1" t="str">
        <f>"87903"</f>
        <v>87903</v>
      </c>
      <c r="B1631" s="1" t="s">
        <v>505</v>
      </c>
      <c r="C1631" s="2">
        <v>1173.94</v>
      </c>
    </row>
    <row r="1632" spans="1:3" ht="11.25">
      <c r="A1632" s="1" t="str">
        <f>"87904"</f>
        <v>87904</v>
      </c>
      <c r="B1632" s="1" t="s">
        <v>1148</v>
      </c>
      <c r="C1632" s="2">
        <v>33.05</v>
      </c>
    </row>
    <row r="1633" spans="1:3" ht="11.25">
      <c r="A1633" s="1" t="str">
        <f>"87905"</f>
        <v>87905</v>
      </c>
      <c r="B1633" s="1" t="s">
        <v>1720</v>
      </c>
      <c r="C1633" s="2">
        <v>618.5</v>
      </c>
    </row>
    <row r="1634" spans="1:3" ht="11.25">
      <c r="A1634" s="1" t="str">
        <f>"87999"</f>
        <v>87999</v>
      </c>
      <c r="B1634" s="1" t="s">
        <v>289</v>
      </c>
      <c r="C1634" s="2">
        <v>22.91</v>
      </c>
    </row>
    <row r="1635" spans="1:3" ht="11.25">
      <c r="A1635" s="1" t="str">
        <f>"88104"</f>
        <v>88104</v>
      </c>
      <c r="B1635" s="1" t="s">
        <v>264</v>
      </c>
      <c r="C1635" s="2">
        <v>11.67</v>
      </c>
    </row>
    <row r="1636" spans="1:3" ht="11.25">
      <c r="A1636" s="1" t="str">
        <f>"88106"</f>
        <v>88106</v>
      </c>
      <c r="B1636" s="1" t="s">
        <v>1321</v>
      </c>
      <c r="C1636" s="2">
        <v>9.53</v>
      </c>
    </row>
    <row r="1637" spans="1:3" ht="11.25">
      <c r="A1637" s="1" t="str">
        <f>"88107"</f>
        <v>88107</v>
      </c>
      <c r="B1637" s="1" t="s">
        <v>1502</v>
      </c>
      <c r="C1637" s="2">
        <v>12.73</v>
      </c>
    </row>
    <row r="1638" spans="1:3" ht="11.25">
      <c r="A1638" s="1" t="str">
        <f>"88108"</f>
        <v>88108</v>
      </c>
      <c r="B1638" s="1" t="s">
        <v>220</v>
      </c>
      <c r="C1638" s="2">
        <v>12.73</v>
      </c>
    </row>
    <row r="1639" spans="1:3" ht="11.25">
      <c r="A1639" s="1" t="str">
        <f>"88112"</f>
        <v>88112</v>
      </c>
      <c r="B1639" s="1" t="s">
        <v>891</v>
      </c>
      <c r="C1639" s="2">
        <v>35.19</v>
      </c>
    </row>
    <row r="1640" spans="1:3" ht="11.25">
      <c r="A1640" s="1" t="str">
        <f>"88125"</f>
        <v>88125</v>
      </c>
      <c r="B1640" s="1" t="s">
        <v>105</v>
      </c>
      <c r="C1640" s="2">
        <v>2.39</v>
      </c>
    </row>
    <row r="1641" spans="1:3" ht="11.25">
      <c r="A1641" s="1" t="str">
        <f>"88130"</f>
        <v>88130</v>
      </c>
      <c r="B1641" s="1" t="s">
        <v>76</v>
      </c>
      <c r="C1641" s="2">
        <v>2.12</v>
      </c>
    </row>
    <row r="1642" spans="1:3" ht="11.25">
      <c r="A1642" s="1" t="str">
        <f>"88140"</f>
        <v>88140</v>
      </c>
      <c r="B1642" s="1" t="s">
        <v>46</v>
      </c>
      <c r="C1642" s="2">
        <v>3.4</v>
      </c>
    </row>
    <row r="1643" spans="1:3" ht="11.25">
      <c r="A1643" s="1" t="str">
        <f>"88141"</f>
        <v>88141</v>
      </c>
      <c r="B1643" s="1" t="s">
        <v>927</v>
      </c>
      <c r="C1643" s="2">
        <v>43.11</v>
      </c>
    </row>
    <row r="1644" spans="1:3" ht="11.25">
      <c r="A1644" s="1" t="str">
        <f>"88142"</f>
        <v>88142</v>
      </c>
      <c r="B1644" s="1" t="s">
        <v>392</v>
      </c>
      <c r="C1644" s="2">
        <v>49.45</v>
      </c>
    </row>
    <row r="1645" spans="1:3" ht="11.25">
      <c r="A1645" s="1" t="str">
        <f>"88143"</f>
        <v>88143</v>
      </c>
      <c r="B1645" s="1" t="s">
        <v>548</v>
      </c>
      <c r="C1645" s="2">
        <v>34.3</v>
      </c>
    </row>
    <row r="1646" spans="1:3" ht="11.25">
      <c r="A1646" s="1" t="str">
        <f>"88147"</f>
        <v>88147</v>
      </c>
      <c r="B1646" s="1" t="s">
        <v>540</v>
      </c>
      <c r="C1646" s="2">
        <v>34.3</v>
      </c>
    </row>
    <row r="1647" spans="1:3" ht="11.25">
      <c r="A1647" s="1" t="str">
        <f>"88148"</f>
        <v>88148</v>
      </c>
      <c r="B1647" s="1" t="s">
        <v>585</v>
      </c>
      <c r="C1647" s="2">
        <v>34.3</v>
      </c>
    </row>
    <row r="1648" spans="1:3" ht="11.25">
      <c r="A1648" s="1" t="str">
        <f>"88150"</f>
        <v>88150</v>
      </c>
      <c r="B1648" s="1" t="s">
        <v>1320</v>
      </c>
      <c r="C1648" s="2">
        <v>34.3</v>
      </c>
    </row>
    <row r="1649" spans="1:3" ht="11.25">
      <c r="A1649" s="1" t="str">
        <f>"88152"</f>
        <v>88152</v>
      </c>
      <c r="B1649" s="1" t="s">
        <v>1377</v>
      </c>
      <c r="C1649" s="2">
        <v>34.3</v>
      </c>
    </row>
    <row r="1650" spans="1:3" ht="11.25">
      <c r="A1650" s="1" t="str">
        <f>"88153"</f>
        <v>88153</v>
      </c>
      <c r="B1650" s="1" t="s">
        <v>120</v>
      </c>
      <c r="C1650" s="2">
        <v>34.3</v>
      </c>
    </row>
    <row r="1651" spans="1:3" ht="11.25">
      <c r="A1651" s="1" t="str">
        <f>"88154"</f>
        <v>88154</v>
      </c>
      <c r="B1651" s="1" t="s">
        <v>1628</v>
      </c>
      <c r="C1651" s="2">
        <v>34.3</v>
      </c>
    </row>
    <row r="1652" spans="1:3" ht="11.25">
      <c r="A1652" s="1" t="str">
        <f>"88155"</f>
        <v>88155</v>
      </c>
      <c r="B1652" s="1" t="s">
        <v>1367</v>
      </c>
      <c r="C1652" s="2">
        <v>12.5</v>
      </c>
    </row>
    <row r="1653" spans="1:3" ht="11.25">
      <c r="A1653" s="1" t="str">
        <f>"88160"</f>
        <v>88160</v>
      </c>
      <c r="B1653" s="1" t="s">
        <v>1532</v>
      </c>
      <c r="C1653" s="2">
        <v>37.33</v>
      </c>
    </row>
    <row r="1654" spans="1:3" ht="11.25">
      <c r="A1654" s="1" t="str">
        <f>"88161"</f>
        <v>88161</v>
      </c>
      <c r="B1654" s="1" t="s">
        <v>1315</v>
      </c>
      <c r="C1654" s="2">
        <v>51.61</v>
      </c>
    </row>
    <row r="1655" spans="1:3" ht="11.25">
      <c r="A1655" s="1" t="str">
        <f>"88162"</f>
        <v>88162</v>
      </c>
      <c r="B1655" s="1" t="s">
        <v>404</v>
      </c>
      <c r="C1655" s="2">
        <v>68.81</v>
      </c>
    </row>
    <row r="1656" spans="1:3" ht="11.25">
      <c r="A1656" s="1" t="str">
        <f>"88164"</f>
        <v>88164</v>
      </c>
      <c r="B1656" s="1" t="s">
        <v>624</v>
      </c>
      <c r="C1656" s="2">
        <v>34.3</v>
      </c>
    </row>
    <row r="1657" spans="1:3" ht="11.25">
      <c r="A1657" s="1" t="str">
        <f>"88165"</f>
        <v>88165</v>
      </c>
      <c r="B1657" s="1" t="s">
        <v>31</v>
      </c>
      <c r="C1657" s="2">
        <v>34.3</v>
      </c>
    </row>
    <row r="1658" spans="1:3" ht="11.25">
      <c r="A1658" s="1" t="str">
        <f>"88166"</f>
        <v>88166</v>
      </c>
      <c r="B1658" s="1" t="s">
        <v>30</v>
      </c>
      <c r="C1658" s="2">
        <v>12.43</v>
      </c>
    </row>
    <row r="1659" spans="1:3" ht="11.25">
      <c r="A1659" s="1" t="str">
        <f>"88167"</f>
        <v>88167</v>
      </c>
      <c r="B1659" s="1" t="s">
        <v>348</v>
      </c>
      <c r="C1659" s="2">
        <v>34.3</v>
      </c>
    </row>
    <row r="1660" spans="1:3" ht="11.25">
      <c r="A1660" s="1" t="str">
        <f>"88172"</f>
        <v>88172</v>
      </c>
      <c r="B1660" s="1" t="s">
        <v>841</v>
      </c>
      <c r="C1660" s="2">
        <v>19.15</v>
      </c>
    </row>
    <row r="1661" spans="1:3" ht="11.25">
      <c r="A1661" s="1" t="str">
        <f>"88173"</f>
        <v>88173</v>
      </c>
      <c r="B1661" s="1" t="s">
        <v>1290</v>
      </c>
      <c r="C1661" s="2">
        <v>22.88</v>
      </c>
    </row>
    <row r="1662" spans="1:3" ht="11.25">
      <c r="A1662" s="1" t="str">
        <f>"88182"</f>
        <v>88182</v>
      </c>
      <c r="B1662" s="1" t="s">
        <v>1215</v>
      </c>
      <c r="C1662" s="2">
        <v>25.49</v>
      </c>
    </row>
    <row r="1663" spans="1:3" ht="11.25">
      <c r="A1663" s="1" t="str">
        <f>"88184"</f>
        <v>88184</v>
      </c>
      <c r="B1663" s="1" t="s">
        <v>563</v>
      </c>
      <c r="C1663" s="2">
        <v>78.61</v>
      </c>
    </row>
    <row r="1664" spans="1:3" ht="11.25">
      <c r="A1664" s="1" t="str">
        <f>"88185"</f>
        <v>88185</v>
      </c>
      <c r="B1664" s="1" t="s">
        <v>1336</v>
      </c>
      <c r="C1664" s="2">
        <v>38.38</v>
      </c>
    </row>
    <row r="1665" spans="1:3" ht="11.25">
      <c r="A1665" s="1" t="str">
        <f>"88187"</f>
        <v>88187</v>
      </c>
      <c r="B1665" s="1" t="s">
        <v>507</v>
      </c>
      <c r="C1665" s="2">
        <v>116.48</v>
      </c>
    </row>
    <row r="1666" spans="1:3" ht="11.25">
      <c r="A1666" s="1" t="str">
        <f>"88188"</f>
        <v>88188</v>
      </c>
      <c r="B1666" s="1" t="s">
        <v>1191</v>
      </c>
      <c r="C1666" s="2">
        <v>145.33</v>
      </c>
    </row>
    <row r="1667" spans="1:3" ht="11.25">
      <c r="A1667" s="1" t="str">
        <f>"88189"</f>
        <v>88189</v>
      </c>
      <c r="B1667" s="1" t="s">
        <v>711</v>
      </c>
      <c r="C1667" s="2">
        <v>191.53</v>
      </c>
    </row>
    <row r="1668" spans="1:3" ht="11.25">
      <c r="A1668" s="1" t="str">
        <f>"88199"</f>
        <v>88199</v>
      </c>
      <c r="B1668" s="1" t="s">
        <v>1619</v>
      </c>
      <c r="C1668" s="2">
        <v>15.27</v>
      </c>
    </row>
    <row r="1669" spans="1:3" ht="11.25">
      <c r="A1669" s="1" t="str">
        <f>"88230"</f>
        <v>88230</v>
      </c>
      <c r="B1669" s="1" t="s">
        <v>1546</v>
      </c>
      <c r="C1669" s="2">
        <v>74.24</v>
      </c>
    </row>
    <row r="1670" spans="1:3" ht="11.25">
      <c r="A1670" s="1" t="str">
        <f>"88233"</f>
        <v>88233</v>
      </c>
      <c r="B1670" s="1" t="s">
        <v>1739</v>
      </c>
      <c r="C1670" s="2">
        <v>74.24</v>
      </c>
    </row>
    <row r="1671" spans="1:3" ht="11.25">
      <c r="A1671" s="1" t="str">
        <f>"88235"</f>
        <v>88235</v>
      </c>
      <c r="B1671" s="1" t="s">
        <v>898</v>
      </c>
      <c r="C1671" s="2">
        <v>74.24</v>
      </c>
    </row>
    <row r="1672" spans="1:3" ht="11.25">
      <c r="A1672" s="1" t="str">
        <f>"88237"</f>
        <v>88237</v>
      </c>
      <c r="B1672" s="1" t="s">
        <v>16</v>
      </c>
      <c r="C1672" s="2">
        <v>74.24</v>
      </c>
    </row>
    <row r="1673" spans="1:3" ht="11.25">
      <c r="A1673" s="1" t="str">
        <f>"88239"</f>
        <v>88239</v>
      </c>
      <c r="B1673" s="1" t="s">
        <v>617</v>
      </c>
      <c r="C1673" s="2">
        <v>74.24</v>
      </c>
    </row>
    <row r="1674" spans="1:3" ht="11.25">
      <c r="A1674" s="1" t="str">
        <f>"88245"</f>
        <v>88245</v>
      </c>
      <c r="B1674" s="1" t="s">
        <v>1450</v>
      </c>
      <c r="C1674" s="2">
        <v>105.71</v>
      </c>
    </row>
    <row r="1675" spans="1:3" ht="11.25">
      <c r="A1675" s="1" t="str">
        <f>"88248"</f>
        <v>88248</v>
      </c>
      <c r="B1675" s="1" t="s">
        <v>391</v>
      </c>
      <c r="C1675" s="2">
        <v>126.86</v>
      </c>
    </row>
    <row r="1676" spans="1:3" ht="11.25">
      <c r="A1676" s="1" t="str">
        <f>"88249"</f>
        <v>88249</v>
      </c>
      <c r="B1676" s="1" t="s">
        <v>370</v>
      </c>
      <c r="C1676" s="2">
        <v>416.05</v>
      </c>
    </row>
    <row r="1677" spans="1:3" ht="11.25">
      <c r="A1677" s="1" t="str">
        <f>"88261"</f>
        <v>88261</v>
      </c>
      <c r="B1677" s="1" t="s">
        <v>934</v>
      </c>
      <c r="C1677" s="2">
        <v>58.73</v>
      </c>
    </row>
    <row r="1678" spans="1:3" ht="11.25">
      <c r="A1678" s="1" t="str">
        <f>"88262"</f>
        <v>88262</v>
      </c>
      <c r="B1678" s="1" t="s">
        <v>1445</v>
      </c>
      <c r="C1678" s="2">
        <v>80.69</v>
      </c>
    </row>
    <row r="1679" spans="1:3" ht="11.25">
      <c r="A1679" s="1" t="str">
        <f>"88263"</f>
        <v>88263</v>
      </c>
      <c r="B1679" s="1" t="s">
        <v>1510</v>
      </c>
      <c r="C1679" s="2">
        <v>117.47</v>
      </c>
    </row>
    <row r="1680" spans="1:3" ht="11.25">
      <c r="A1680" s="1" t="str">
        <f>"88264"</f>
        <v>88264</v>
      </c>
      <c r="B1680" s="1" t="s">
        <v>1185</v>
      </c>
      <c r="C1680" s="2">
        <v>299.46</v>
      </c>
    </row>
    <row r="1681" spans="1:3" ht="11.25">
      <c r="A1681" s="1" t="str">
        <f>"88267"</f>
        <v>88267</v>
      </c>
      <c r="B1681" s="1" t="s">
        <v>163</v>
      </c>
      <c r="C1681" s="2">
        <v>126.86</v>
      </c>
    </row>
    <row r="1682" spans="1:3" ht="11.25">
      <c r="A1682" s="1" t="str">
        <f>"88269"</f>
        <v>88269</v>
      </c>
      <c r="B1682" s="1" t="s">
        <v>1752</v>
      </c>
      <c r="C1682" s="2">
        <v>140.95</v>
      </c>
    </row>
    <row r="1683" spans="1:3" ht="11.25">
      <c r="A1683" s="1" t="str">
        <f>"88280"</f>
        <v>88280</v>
      </c>
      <c r="B1683" s="1" t="s">
        <v>297</v>
      </c>
      <c r="C1683" s="2">
        <v>5.5</v>
      </c>
    </row>
    <row r="1684" spans="1:3" ht="11.25">
      <c r="A1684" s="1" t="str">
        <f>"88283"</f>
        <v>88283</v>
      </c>
      <c r="B1684" s="1" t="s">
        <v>1541</v>
      </c>
      <c r="C1684" s="2">
        <v>28.19</v>
      </c>
    </row>
    <row r="1685" spans="1:3" ht="11.25">
      <c r="A1685" s="1" t="str">
        <f>"88285"</f>
        <v>88285</v>
      </c>
      <c r="B1685" s="1" t="s">
        <v>98</v>
      </c>
      <c r="C1685" s="2">
        <v>2.58</v>
      </c>
    </row>
    <row r="1686" spans="1:3" ht="11.25">
      <c r="A1686" s="1" t="str">
        <f>"88289"</f>
        <v>88289</v>
      </c>
      <c r="B1686" s="1" t="s">
        <v>728</v>
      </c>
      <c r="C1686" s="2">
        <v>19.03</v>
      </c>
    </row>
    <row r="1687" spans="1:3" ht="11.25">
      <c r="A1687" s="1" t="str">
        <f>"88291"</f>
        <v>88291</v>
      </c>
      <c r="B1687" s="1" t="s">
        <v>1382</v>
      </c>
      <c r="C1687" s="2">
        <v>9.63</v>
      </c>
    </row>
    <row r="1688" spans="1:3" ht="11.25">
      <c r="A1688" s="1" t="str">
        <f>"88299"</f>
        <v>88299</v>
      </c>
      <c r="B1688" s="1" t="s">
        <v>191</v>
      </c>
      <c r="C1688" s="2">
        <v>214.39</v>
      </c>
    </row>
    <row r="1689" spans="1:3" ht="11.25">
      <c r="A1689" s="1" t="str">
        <f>"88300"</f>
        <v>88300</v>
      </c>
      <c r="B1689" s="1" t="s">
        <v>1467</v>
      </c>
      <c r="C1689" s="2">
        <v>6.34</v>
      </c>
    </row>
    <row r="1690" spans="1:3" ht="11.25">
      <c r="A1690" s="1" t="str">
        <f>"88302"</f>
        <v>88302</v>
      </c>
      <c r="B1690" s="1" t="s">
        <v>862</v>
      </c>
      <c r="C1690" s="2">
        <v>12.73</v>
      </c>
    </row>
    <row r="1691" spans="1:3" ht="11.25">
      <c r="A1691" s="1" t="str">
        <f>"88304"</f>
        <v>88304</v>
      </c>
      <c r="B1691" s="1" t="s">
        <v>478</v>
      </c>
      <c r="C1691" s="2">
        <v>18.09</v>
      </c>
    </row>
    <row r="1692" spans="1:3" ht="11.25">
      <c r="A1692" s="1" t="str">
        <f>"88305"</f>
        <v>88305</v>
      </c>
      <c r="B1692" s="1" t="s">
        <v>1755</v>
      </c>
      <c r="C1692" s="2">
        <v>27.63</v>
      </c>
    </row>
    <row r="1693" spans="1:3" ht="11.25">
      <c r="A1693" s="1" t="str">
        <f>"88307"</f>
        <v>88307</v>
      </c>
      <c r="B1693" s="1" t="s">
        <v>483</v>
      </c>
      <c r="C1693" s="2">
        <v>40.9</v>
      </c>
    </row>
    <row r="1694" spans="1:3" ht="11.25">
      <c r="A1694" s="1" t="str">
        <f>"88309"</f>
        <v>88309</v>
      </c>
      <c r="B1694" s="1" t="s">
        <v>651</v>
      </c>
      <c r="C1694" s="2">
        <v>51.04</v>
      </c>
    </row>
    <row r="1695" spans="1:3" ht="11.25">
      <c r="A1695" s="1" t="str">
        <f>"88311"</f>
        <v>88311</v>
      </c>
      <c r="B1695" s="1" t="s">
        <v>7</v>
      </c>
      <c r="C1695" s="2">
        <v>5.33</v>
      </c>
    </row>
    <row r="1696" spans="1:3" ht="11.25">
      <c r="A1696" s="1" t="str">
        <f>"88312"</f>
        <v>88312</v>
      </c>
      <c r="B1696" s="1" t="s">
        <v>500</v>
      </c>
      <c r="C1696" s="2">
        <v>6.39</v>
      </c>
    </row>
    <row r="1697" spans="1:3" ht="11.25">
      <c r="A1697" s="1" t="str">
        <f>"88313"</f>
        <v>88313</v>
      </c>
      <c r="B1697" s="1" t="s">
        <v>1049</v>
      </c>
      <c r="C1697" s="2">
        <v>5.71</v>
      </c>
    </row>
    <row r="1698" spans="1:3" ht="11.25">
      <c r="A1698" s="1" t="str">
        <f>"88314"</f>
        <v>88314</v>
      </c>
      <c r="B1698" s="1" t="s">
        <v>876</v>
      </c>
      <c r="C1698" s="2">
        <v>14.87</v>
      </c>
    </row>
    <row r="1699" spans="1:3" ht="11.25">
      <c r="A1699" s="1" t="str">
        <f>"88318"</f>
        <v>88318</v>
      </c>
      <c r="B1699" s="1" t="s">
        <v>857</v>
      </c>
      <c r="C1699" s="2">
        <v>6.39</v>
      </c>
    </row>
    <row r="1700" spans="1:3" ht="11.25">
      <c r="A1700" s="1" t="str">
        <f>"88319"</f>
        <v>88319</v>
      </c>
      <c r="B1700" s="1" t="s">
        <v>828</v>
      </c>
      <c r="C1700" s="2">
        <v>12.73</v>
      </c>
    </row>
    <row r="1701" spans="1:3" ht="11.25">
      <c r="A1701" s="1" t="str">
        <f>"88321"</f>
        <v>88321</v>
      </c>
      <c r="B1701" s="1" t="s">
        <v>686</v>
      </c>
      <c r="C1701" s="2">
        <v>15.79</v>
      </c>
    </row>
    <row r="1702" spans="1:3" ht="11.25">
      <c r="A1702" s="1" t="str">
        <f>"88323"</f>
        <v>88323</v>
      </c>
      <c r="B1702" s="1" t="s">
        <v>609</v>
      </c>
      <c r="C1702" s="2">
        <v>18.09</v>
      </c>
    </row>
    <row r="1703" spans="1:3" ht="11.25">
      <c r="A1703" s="1" t="str">
        <f>"88325"</f>
        <v>88325</v>
      </c>
      <c r="B1703" s="1" t="s">
        <v>210</v>
      </c>
      <c r="C1703" s="2">
        <v>27.23</v>
      </c>
    </row>
    <row r="1704" spans="1:3" ht="11.25">
      <c r="A1704" s="1" t="str">
        <f>"88329"</f>
        <v>88329</v>
      </c>
      <c r="B1704" s="1" t="s">
        <v>1393</v>
      </c>
      <c r="C1704" s="2">
        <v>10.62</v>
      </c>
    </row>
    <row r="1705" spans="1:3" ht="11.25">
      <c r="A1705" s="1" t="str">
        <f>"88331"</f>
        <v>88331</v>
      </c>
      <c r="B1705" s="1" t="s">
        <v>592</v>
      </c>
      <c r="C1705" s="2">
        <v>29.77</v>
      </c>
    </row>
    <row r="1706" spans="1:3" ht="11.25">
      <c r="A1706" s="1" t="str">
        <f>"88332"</f>
        <v>88332</v>
      </c>
      <c r="B1706" s="1" t="s">
        <v>772</v>
      </c>
      <c r="C1706" s="2">
        <v>14.87</v>
      </c>
    </row>
    <row r="1707" spans="1:3" ht="11.25">
      <c r="A1707" s="1" t="str">
        <f>"88333"</f>
        <v>88333</v>
      </c>
      <c r="B1707" s="1" t="s">
        <v>518</v>
      </c>
      <c r="C1707" s="2">
        <v>114.83</v>
      </c>
    </row>
    <row r="1708" spans="1:3" ht="11.25">
      <c r="A1708" s="1" t="str">
        <f>"88334"</f>
        <v>88334</v>
      </c>
      <c r="B1708" s="1" t="s">
        <v>17</v>
      </c>
      <c r="C1708" s="2">
        <v>56.43</v>
      </c>
    </row>
    <row r="1709" spans="1:3" ht="11.25">
      <c r="A1709" s="1" t="str">
        <f>"88342"</f>
        <v>88342</v>
      </c>
      <c r="B1709" s="1" t="s">
        <v>1015</v>
      </c>
      <c r="C1709" s="2">
        <v>17.01</v>
      </c>
    </row>
    <row r="1710" spans="1:3" ht="11.25">
      <c r="A1710" s="1" t="str">
        <f>"88346"</f>
        <v>88346</v>
      </c>
      <c r="B1710" s="1" t="s">
        <v>259</v>
      </c>
      <c r="C1710" s="2">
        <v>14.87</v>
      </c>
    </row>
    <row r="1711" spans="1:3" ht="11.25">
      <c r="A1711" s="1" t="str">
        <f>"88347"</f>
        <v>88347</v>
      </c>
      <c r="B1711" s="1" t="s">
        <v>886</v>
      </c>
      <c r="C1711" s="2">
        <v>14.87</v>
      </c>
    </row>
    <row r="1712" spans="1:3" ht="11.25">
      <c r="A1712" s="1" t="str">
        <f>"88348"</f>
        <v>88348</v>
      </c>
      <c r="B1712" s="1" t="s">
        <v>861</v>
      </c>
      <c r="C1712" s="2">
        <v>60.07</v>
      </c>
    </row>
    <row r="1713" spans="1:3" ht="11.25">
      <c r="A1713" s="1" t="str">
        <f>"88349"</f>
        <v>88349</v>
      </c>
      <c r="B1713" s="1" t="s">
        <v>801</v>
      </c>
      <c r="C1713" s="2">
        <v>41.98</v>
      </c>
    </row>
    <row r="1714" spans="1:3" ht="11.25">
      <c r="A1714" s="1" t="str">
        <f>"88355"</f>
        <v>88355</v>
      </c>
      <c r="B1714" s="1" t="s">
        <v>991</v>
      </c>
      <c r="C1714" s="2">
        <v>45.18</v>
      </c>
    </row>
    <row r="1715" spans="1:3" ht="11.25">
      <c r="A1715" s="1" t="str">
        <f>"88356"</f>
        <v>88356</v>
      </c>
      <c r="B1715" s="1" t="s">
        <v>530</v>
      </c>
      <c r="C1715" s="2">
        <v>69.66</v>
      </c>
    </row>
    <row r="1716" spans="1:3" ht="11.25">
      <c r="A1716" s="1" t="str">
        <f>"88358"</f>
        <v>88358</v>
      </c>
      <c r="B1716" s="1" t="s">
        <v>1622</v>
      </c>
      <c r="C1716" s="2">
        <v>63.81</v>
      </c>
    </row>
    <row r="1717" spans="1:3" ht="11.25">
      <c r="A1717" s="1" t="str">
        <f>"88360"</f>
        <v>88360</v>
      </c>
      <c r="B1717" s="1" t="s">
        <v>674</v>
      </c>
      <c r="C1717" s="2">
        <v>81.15</v>
      </c>
    </row>
    <row r="1718" spans="1:3" ht="11.25">
      <c r="A1718" s="1" t="str">
        <f>"88361"</f>
        <v>88361</v>
      </c>
      <c r="B1718" s="1" t="s">
        <v>137</v>
      </c>
      <c r="C1718" s="2">
        <v>122.91</v>
      </c>
    </row>
    <row r="1719" spans="1:3" ht="11.25">
      <c r="A1719" s="1" t="str">
        <f>"88362"</f>
        <v>88362</v>
      </c>
      <c r="B1719" s="1" t="s">
        <v>509</v>
      </c>
      <c r="C1719" s="2">
        <v>53.18</v>
      </c>
    </row>
    <row r="1720" spans="1:3" ht="11.25">
      <c r="A1720" s="1" t="str">
        <f>"88365"</f>
        <v>88365</v>
      </c>
      <c r="B1720" s="1" t="s">
        <v>1021</v>
      </c>
      <c r="C1720" s="2">
        <v>8.61</v>
      </c>
    </row>
    <row r="1721" spans="1:3" ht="11.25">
      <c r="A1721" s="1" t="str">
        <f>"88371"</f>
        <v>88371</v>
      </c>
      <c r="B1721" s="1" t="s">
        <v>1631</v>
      </c>
      <c r="C1721" s="2">
        <v>54.4</v>
      </c>
    </row>
    <row r="1722" spans="1:3" ht="11.25">
      <c r="A1722" s="1" t="str">
        <f>"88372"</f>
        <v>88372</v>
      </c>
      <c r="B1722" s="1" t="s">
        <v>256</v>
      </c>
      <c r="C1722" s="2">
        <v>54.4</v>
      </c>
    </row>
    <row r="1723" spans="1:3" ht="11.25">
      <c r="A1723" s="1" t="str">
        <f>"88399"</f>
        <v>88399</v>
      </c>
      <c r="B1723" s="1" t="s">
        <v>1125</v>
      </c>
      <c r="C1723" s="2">
        <v>15.98</v>
      </c>
    </row>
    <row r="1724" spans="1:3" ht="11.25">
      <c r="A1724" s="1" t="str">
        <f>"88720"</f>
        <v>88720</v>
      </c>
      <c r="B1724" s="1" t="s">
        <v>1376</v>
      </c>
      <c r="C1724" s="2">
        <v>6.04</v>
      </c>
    </row>
    <row r="1725" spans="1:3" ht="11.25">
      <c r="A1725" s="1" t="str">
        <f>"88740"</f>
        <v>88740</v>
      </c>
      <c r="B1725" s="1" t="str">
        <f>" HEMOGLOBIN,QUANT,TRANSCUT;CARBOXYHEMOGL"</f>
        <v> HEMOGLOBIN,QUANT,TRANSCUT;CARBOXYHEMOGL</v>
      </c>
      <c r="C1725" s="2">
        <v>13.56</v>
      </c>
    </row>
    <row r="1726" spans="1:3" ht="11.25">
      <c r="A1726" s="1" t="str">
        <f>"88741"</f>
        <v>88741</v>
      </c>
      <c r="B1726" s="1" t="s">
        <v>34</v>
      </c>
      <c r="C1726" s="2">
        <v>4.07</v>
      </c>
    </row>
    <row r="1727" spans="1:3" ht="11.25">
      <c r="A1727" s="1" t="str">
        <f>"89049"</f>
        <v>89049</v>
      </c>
      <c r="B1727" s="1" t="s">
        <v>1035</v>
      </c>
      <c r="C1727" s="2">
        <v>312.94</v>
      </c>
    </row>
    <row r="1728" spans="1:3" ht="11.25">
      <c r="A1728" s="1" t="str">
        <f>"89050"</f>
        <v>89050</v>
      </c>
      <c r="B1728" s="1" t="s">
        <v>53</v>
      </c>
      <c r="C1728" s="2">
        <v>11.65</v>
      </c>
    </row>
    <row r="1729" spans="1:3" ht="11.25">
      <c r="A1729" s="1" t="str">
        <f>"89051"</f>
        <v>89051</v>
      </c>
      <c r="B1729" s="1" t="s">
        <v>364</v>
      </c>
      <c r="C1729" s="2">
        <v>13.56</v>
      </c>
    </row>
    <row r="1730" spans="1:3" ht="11.25">
      <c r="A1730" s="1" t="str">
        <f>"89055"</f>
        <v>89055</v>
      </c>
      <c r="B1730" s="1" t="s">
        <v>1558</v>
      </c>
      <c r="C1730" s="2">
        <v>10.36</v>
      </c>
    </row>
    <row r="1731" spans="1:3" ht="11.25">
      <c r="A1731" s="1" t="str">
        <f>"89060"</f>
        <v>89060</v>
      </c>
      <c r="B1731" s="1" t="s">
        <v>271</v>
      </c>
      <c r="C1731" s="2">
        <v>17.57</v>
      </c>
    </row>
    <row r="1732" spans="1:3" ht="11.25">
      <c r="A1732" s="1" t="str">
        <f>"89100"</f>
        <v>89100</v>
      </c>
      <c r="B1732" s="1" t="s">
        <v>1562</v>
      </c>
      <c r="C1732" s="2">
        <v>58.28</v>
      </c>
    </row>
    <row r="1733" spans="1:3" ht="11.25">
      <c r="A1733" s="1" t="str">
        <f>"89105"</f>
        <v>89105</v>
      </c>
      <c r="B1733" s="1" t="s">
        <v>607</v>
      </c>
      <c r="C1733" s="2">
        <v>50.83</v>
      </c>
    </row>
    <row r="1734" spans="1:3" ht="11.25">
      <c r="A1734" s="1" t="str">
        <f>"89125"</f>
        <v>89125</v>
      </c>
      <c r="B1734" s="1" t="s">
        <v>237</v>
      </c>
      <c r="C1734" s="2">
        <v>10.62</v>
      </c>
    </row>
    <row r="1735" spans="1:3" ht="11.25">
      <c r="A1735" s="1" t="str">
        <f>"89130"</f>
        <v>89130</v>
      </c>
      <c r="B1735" s="1" t="s">
        <v>631</v>
      </c>
      <c r="C1735" s="2">
        <v>45.1</v>
      </c>
    </row>
    <row r="1736" spans="1:3" ht="11.25">
      <c r="A1736" s="1" t="str">
        <f>"89132"</f>
        <v>89132</v>
      </c>
      <c r="B1736" s="1" t="s">
        <v>575</v>
      </c>
      <c r="C1736" s="2">
        <v>21.75</v>
      </c>
    </row>
    <row r="1737" spans="1:3" ht="11.25">
      <c r="A1737" s="1" t="str">
        <f>"89135"</f>
        <v>89135</v>
      </c>
      <c r="B1737" s="1" t="s">
        <v>100</v>
      </c>
      <c r="C1737" s="2">
        <v>33.29</v>
      </c>
    </row>
    <row r="1738" spans="1:3" ht="11.25">
      <c r="A1738" s="1" t="str">
        <f>"89136"</f>
        <v>89136</v>
      </c>
      <c r="B1738" s="1" t="s">
        <v>1351</v>
      </c>
      <c r="C1738" s="2">
        <v>24.52</v>
      </c>
    </row>
    <row r="1739" spans="1:3" ht="11.25">
      <c r="A1739" s="1" t="str">
        <f>"89140"</f>
        <v>89140</v>
      </c>
      <c r="B1739" s="1" t="s">
        <v>1673</v>
      </c>
      <c r="C1739" s="2">
        <v>99.98</v>
      </c>
    </row>
    <row r="1740" spans="1:3" ht="11.25">
      <c r="A1740" s="1" t="str">
        <f>"89141"</f>
        <v>89141</v>
      </c>
      <c r="B1740" s="1" t="s">
        <v>896</v>
      </c>
      <c r="C1740" s="2">
        <v>90.21</v>
      </c>
    </row>
    <row r="1741" spans="1:3" ht="11.25">
      <c r="A1741" s="1" t="str">
        <f>"89160"</f>
        <v>89160</v>
      </c>
      <c r="B1741" s="1" t="s">
        <v>949</v>
      </c>
      <c r="C1741" s="2">
        <v>9.07</v>
      </c>
    </row>
    <row r="1742" spans="1:3" ht="11.25">
      <c r="A1742" s="1" t="str">
        <f>"89190"</f>
        <v>89190</v>
      </c>
      <c r="B1742" s="1" t="s">
        <v>74</v>
      </c>
      <c r="C1742" s="2">
        <v>11.67</v>
      </c>
    </row>
    <row r="1743" spans="1:3" ht="11.25">
      <c r="A1743" s="1" t="str">
        <f>"89225"</f>
        <v>89225</v>
      </c>
      <c r="B1743" s="1" t="s">
        <v>1542</v>
      </c>
      <c r="C1743" s="2">
        <v>8.13</v>
      </c>
    </row>
    <row r="1744" spans="1:3" ht="11.25">
      <c r="A1744" s="1" t="str">
        <f>"89235"</f>
        <v>89235</v>
      </c>
      <c r="B1744" s="1" t="s">
        <v>1341</v>
      </c>
      <c r="C1744" s="2">
        <v>13.37</v>
      </c>
    </row>
    <row r="1745" spans="1:3" ht="11.25">
      <c r="A1745" s="1" t="str">
        <f>"89356"</f>
        <v>89356</v>
      </c>
      <c r="B1745" s="1" t="s">
        <v>360</v>
      </c>
      <c r="C1745" s="2">
        <v>90.89</v>
      </c>
    </row>
    <row r="1746" spans="1:3" ht="11.25">
      <c r="A1746" s="1" t="str">
        <f>"90760"</f>
        <v>90760</v>
      </c>
      <c r="B1746" s="1" t="s">
        <v>422</v>
      </c>
      <c r="C1746" s="2">
        <v>42.68</v>
      </c>
    </row>
    <row r="1747" spans="1:3" ht="11.25">
      <c r="A1747" s="1" t="str">
        <f>"91034"</f>
        <v>91034</v>
      </c>
      <c r="B1747" s="1" t="s">
        <v>1181</v>
      </c>
      <c r="C1747" s="2">
        <v>124.06</v>
      </c>
    </row>
    <row r="1748" spans="1:3" ht="11.25">
      <c r="A1748" s="1" t="str">
        <f>"91035"</f>
        <v>91035</v>
      </c>
      <c r="B1748" s="1" t="s">
        <v>871</v>
      </c>
      <c r="C1748" s="2">
        <v>258.84</v>
      </c>
    </row>
    <row r="1749" spans="1:3" ht="11.25">
      <c r="A1749" s="1" t="str">
        <f>"91037"</f>
        <v>91037</v>
      </c>
      <c r="B1749" s="1" t="s">
        <v>123</v>
      </c>
      <c r="C1749" s="2">
        <v>65.89</v>
      </c>
    </row>
    <row r="1750" spans="1:3" ht="11.25">
      <c r="A1750" s="1" t="str">
        <f>"91038"</f>
        <v>91038</v>
      </c>
      <c r="B1750" s="1" t="s">
        <v>365</v>
      </c>
      <c r="C1750" s="2">
        <v>46.75</v>
      </c>
    </row>
    <row r="1751" spans="1:3" ht="11.25">
      <c r="A1751" s="1" t="str">
        <f>"91040"</f>
        <v>91040</v>
      </c>
      <c r="B1751" s="1" t="s">
        <v>1121</v>
      </c>
      <c r="C1751" s="2">
        <v>272.39</v>
      </c>
    </row>
    <row r="1752" spans="1:3" ht="11.25">
      <c r="A1752" s="1" t="str">
        <f>"91120"</f>
        <v>91120</v>
      </c>
      <c r="B1752" s="1" t="s">
        <v>753</v>
      </c>
      <c r="C1752" s="2">
        <v>268.4</v>
      </c>
    </row>
    <row r="1753" spans="1:3" ht="11.25">
      <c r="A1753" s="1" t="str">
        <f>"93321"</f>
        <v>93321</v>
      </c>
      <c r="B1753" s="1" t="s">
        <v>403</v>
      </c>
      <c r="C1753" s="2">
        <v>24.99</v>
      </c>
    </row>
    <row r="1754" spans="1:3" ht="11.25">
      <c r="A1754" s="1" t="str">
        <f>"95865"</f>
        <v>95865</v>
      </c>
      <c r="B1754" s="1" t="s">
        <v>821</v>
      </c>
      <c r="C1754" s="2">
        <v>66.25</v>
      </c>
    </row>
    <row r="1755" spans="1:3" ht="11.25">
      <c r="A1755" s="1" t="str">
        <f>"96360"</f>
        <v>96360</v>
      </c>
      <c r="B1755" s="1" t="s">
        <v>1658</v>
      </c>
      <c r="C1755" s="2">
        <v>42.68</v>
      </c>
    </row>
    <row r="1756" spans="1:3" ht="11.25">
      <c r="A1756" s="1" t="str">
        <f>"96361"</f>
        <v>96361</v>
      </c>
      <c r="B1756" s="1" t="s">
        <v>78</v>
      </c>
      <c r="C1756" s="2">
        <v>13.4</v>
      </c>
    </row>
    <row r="1757" spans="1:3" ht="11.25">
      <c r="A1757" s="1" t="str">
        <f>"96365"</f>
        <v>96365</v>
      </c>
      <c r="B1757" s="1" t="s">
        <v>1749</v>
      </c>
      <c r="C1757" s="2">
        <v>52.36</v>
      </c>
    </row>
    <row r="1758" spans="1:3" ht="11.25">
      <c r="A1758" s="1" t="str">
        <f>"96366"</f>
        <v>96366</v>
      </c>
      <c r="B1758" s="1" t="s">
        <v>1116</v>
      </c>
      <c r="C1758" s="2">
        <v>17.55</v>
      </c>
    </row>
    <row r="1759" spans="1:3" ht="11.25">
      <c r="A1759" s="1" t="str">
        <f>"96367"</f>
        <v>96367</v>
      </c>
      <c r="B1759" s="1" t="s">
        <v>790</v>
      </c>
      <c r="C1759" s="2">
        <v>28.96</v>
      </c>
    </row>
    <row r="1760" spans="1:3" ht="11.25">
      <c r="A1760" s="1" t="str">
        <f>"96368"</f>
        <v>96368</v>
      </c>
      <c r="B1760" s="1" t="s">
        <v>442</v>
      </c>
      <c r="C1760" s="2">
        <v>16.74</v>
      </c>
    </row>
    <row r="1761" spans="1:3" ht="11.25">
      <c r="A1761" s="1" t="str">
        <f>"96372"</f>
        <v>96372</v>
      </c>
      <c r="B1761" s="1" t="s">
        <v>165</v>
      </c>
      <c r="C1761" s="2">
        <v>4</v>
      </c>
    </row>
    <row r="1762" spans="1:3" ht="11.25">
      <c r="A1762" s="1" t="str">
        <f>"96450"</f>
        <v>96450</v>
      </c>
      <c r="B1762" s="1" t="s">
        <v>1576</v>
      </c>
      <c r="C1762" s="2">
        <v>250.93</v>
      </c>
    </row>
    <row r="1763" spans="1:3" ht="11.25">
      <c r="A1763" s="1" t="s">
        <v>884</v>
      </c>
      <c r="B1763" s="1" t="s">
        <v>885</v>
      </c>
      <c r="C1763" s="2">
        <v>26.71</v>
      </c>
    </row>
    <row r="1764" spans="1:3" ht="11.25">
      <c r="A1764" s="1" t="s">
        <v>1609</v>
      </c>
      <c r="B1764" s="1" t="s">
        <v>1610</v>
      </c>
      <c r="C1764" s="2">
        <v>59.05</v>
      </c>
    </row>
    <row r="1765" spans="1:3" ht="11.25">
      <c r="A1765" s="1" t="s">
        <v>1097</v>
      </c>
      <c r="B1765" s="1" t="s">
        <v>1098</v>
      </c>
      <c r="C1765" s="2">
        <v>58.02</v>
      </c>
    </row>
    <row r="1766" spans="1:3" ht="11.25">
      <c r="A1766" s="1" t="s">
        <v>1272</v>
      </c>
      <c r="B1766" s="1" t="s">
        <v>1273</v>
      </c>
      <c r="C1766" s="2">
        <v>46.84</v>
      </c>
    </row>
  </sheetData>
  <sheetProtection/>
  <printOptions gridLines="1" horizontalCentered="1" verticalCentered="1"/>
  <pageMargins left="0" right="0" top="0.5" bottom="1" header="0" footer="0.5"/>
  <pageSetup horizontalDpi="600" verticalDpi="600" orientation="landscape" r:id="rId1"/>
  <headerFooter alignWithMargins="0">
    <oddHeader xml:space="preserve">&amp;C&amp;"Arial,Bold"&amp;16TTT X-Ray, Labs and Other Medical Procesures - Rates Effective January 1, 2009 </oddHeader>
    <oddFooter>&amp;Lmedstat
may 8, 2009&amp;C&amp;P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Medstat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Eligibility </cp:lastModifiedBy>
  <cp:lastPrinted>2009-05-08T15:13:49Z</cp:lastPrinted>
  <dcterms:created xsi:type="dcterms:W3CDTF">2009-05-08T14:31:18Z</dcterms:created>
  <dcterms:modified xsi:type="dcterms:W3CDTF">2010-03-12T15:39:48Z</dcterms:modified>
  <cp:category/>
  <cp:version/>
  <cp:contentType/>
  <cp:contentStatus/>
</cp:coreProperties>
</file>