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601"/>
  <workbookPr defaultThemeVersion="124226"/>
  <mc:AlternateContent xmlns:mc="http://schemas.openxmlformats.org/markup-compatibility/2006">
    <mc:Choice Requires="x15">
      <x15ac:absPath xmlns:x15ac="http://schemas.microsoft.com/office/spreadsheetml/2010/11/ac" url="L:\REIMAN\State Agencies\Cost Report Master File\"/>
    </mc:Choice>
  </mc:AlternateContent>
  <xr:revisionPtr revIDLastSave="0" documentId="13_ncr:1_{18E781CC-DC77-43EF-BFFB-F1671E7561DF}" xr6:coauthVersionLast="43" xr6:coauthVersionMax="43" xr10:uidLastSave="{00000000-0000-0000-0000-000000000000}"/>
  <bookViews>
    <workbookView xWindow="-120" yWindow="-120" windowWidth="29040" windowHeight="15840" xr2:uid="{00000000-000D-0000-FFFF-FFFF00000000}"/>
  </bookViews>
  <sheets>
    <sheet name="General Information" sheetId="4" r:id="rId1"/>
    <sheet name="Crosswalk " sheetId="24" r:id="rId2"/>
    <sheet name="Direct Prof Sal &amp; Fringes  " sheetId="25" r:id="rId3"/>
    <sheet name=" Indirect Non-prof Sal &amp; Fringe" sheetId="29" r:id="rId4"/>
    <sheet name="Direct and Indirect Expenses" sheetId="27" r:id="rId5"/>
    <sheet name="Financial Summary &amp; Stats" sheetId="7" r:id="rId6"/>
    <sheet name="Settlement Calculation" sheetId="19" r:id="rId7"/>
    <sheet name="Service Paid by Medicaid" sheetId="22" r:id="rId8"/>
  </sheets>
  <definedNames>
    <definedName name="_xlnm._FilterDatabase" localSheetId="1" hidden="1">'Crosswalk '!$A$8:$I$94</definedName>
    <definedName name="_xlnm._FilterDatabase" localSheetId="5" hidden="1">'Financial Summary &amp; Stats'!$A$16:$Y$16</definedName>
    <definedName name="_xlnm.Print_Area" localSheetId="3">' Indirect Non-prof Sal &amp; Fringe'!$A$1:$O$43</definedName>
    <definedName name="_xlnm.Print_Area" localSheetId="1">'Crosswalk '!$A$1:$I$125</definedName>
    <definedName name="_xlnm.Print_Area" localSheetId="2">'Direct Prof Sal &amp; Fringes  '!$A$1:$N$390</definedName>
    <definedName name="_xlnm.Print_Area" localSheetId="5">'Financial Summary &amp; Stats'!$A$1:$V$420</definedName>
    <definedName name="_xlnm.Print_Area" localSheetId="0">'General Information'!$A$1:$B$49</definedName>
    <definedName name="_xlnm.Print_Area" localSheetId="6">'Settlement Calculation'!$A$1:$M$44</definedName>
    <definedName name="_xlnm.Print_Titles" localSheetId="1">'Crosswalk '!$1:$5</definedName>
    <definedName name="_xlnm.Print_Titles" localSheetId="2">'Direct Prof Sal &amp; Fringes  '!$1:$5</definedName>
    <definedName name="_xlnm.Print_Titles" localSheetId="5">'Financial Summary &amp; Stats'!$1:$8</definedName>
    <definedName name="_xlnm.Print_Titles" localSheetId="6">'Settlement Calculation'!$A:$E,'Settlement Calculation'!$1:$9</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23" i="22" l="1"/>
  <c r="C23" i="22"/>
  <c r="D23" i="22"/>
  <c r="E23" i="22"/>
  <c r="F23" i="22"/>
  <c r="B24" i="22"/>
  <c r="C24" i="22"/>
  <c r="D24" i="22"/>
  <c r="E24" i="22"/>
  <c r="F24" i="22"/>
  <c r="B25" i="22"/>
  <c r="C25" i="22"/>
  <c r="D25" i="22"/>
  <c r="E25" i="22"/>
  <c r="F25" i="22"/>
  <c r="B26" i="22"/>
  <c r="C26" i="22"/>
  <c r="D26" i="22"/>
  <c r="E26" i="22"/>
  <c r="F26" i="22"/>
  <c r="B27" i="22"/>
  <c r="C27" i="22"/>
  <c r="D27" i="22"/>
  <c r="E27" i="22"/>
  <c r="F27" i="22"/>
  <c r="B28" i="22"/>
  <c r="C28" i="22"/>
  <c r="D28" i="22"/>
  <c r="E28" i="22"/>
  <c r="F28" i="22"/>
  <c r="B29" i="22"/>
  <c r="C29" i="22"/>
  <c r="D29" i="22"/>
  <c r="E29" i="22"/>
  <c r="F29" i="22"/>
  <c r="B30" i="22"/>
  <c r="C30" i="22"/>
  <c r="D30" i="22"/>
  <c r="E30" i="22"/>
  <c r="F30" i="22"/>
  <c r="B31" i="22"/>
  <c r="C31" i="22"/>
  <c r="D31" i="22"/>
  <c r="E31" i="22"/>
  <c r="F31" i="22"/>
  <c r="B32" i="22"/>
  <c r="C32" i="22"/>
  <c r="D32" i="22"/>
  <c r="E32" i="22"/>
  <c r="F32" i="22"/>
  <c r="B33" i="22"/>
  <c r="C33" i="22"/>
  <c r="D33" i="22"/>
  <c r="E33" i="22"/>
  <c r="F33" i="22"/>
  <c r="B34" i="22"/>
  <c r="C34" i="22"/>
  <c r="D34" i="22"/>
  <c r="E34" i="22"/>
  <c r="F34" i="22"/>
  <c r="B35" i="22"/>
  <c r="C35" i="22"/>
  <c r="D35" i="22"/>
  <c r="E35" i="22"/>
  <c r="F35" i="22"/>
  <c r="B36" i="22"/>
  <c r="C36" i="22"/>
  <c r="D36" i="22"/>
  <c r="E36" i="22"/>
  <c r="F36" i="22"/>
  <c r="B37" i="22"/>
  <c r="C37" i="22"/>
  <c r="D37" i="22"/>
  <c r="E37" i="22"/>
  <c r="F37" i="22"/>
  <c r="B38" i="22"/>
  <c r="C38" i="22"/>
  <c r="D38" i="22"/>
  <c r="E38" i="22"/>
  <c r="F38" i="22"/>
  <c r="B39" i="22"/>
  <c r="C39" i="22"/>
  <c r="D39" i="22"/>
  <c r="E39" i="22"/>
  <c r="F39" i="22"/>
  <c r="B40" i="22"/>
  <c r="C40" i="22"/>
  <c r="D40" i="22"/>
  <c r="E40" i="22"/>
  <c r="F40" i="22"/>
  <c r="B39" i="19" l="1"/>
  <c r="B40" i="19"/>
  <c r="B41" i="19"/>
  <c r="B17" i="19" l="1"/>
  <c r="B18" i="19"/>
  <c r="B19" i="19"/>
  <c r="B20" i="19"/>
  <c r="B21" i="19"/>
  <c r="B22" i="19"/>
  <c r="B23" i="19"/>
  <c r="B24" i="19"/>
  <c r="B25" i="19"/>
  <c r="B26" i="19"/>
  <c r="C26" i="19"/>
  <c r="D26" i="19"/>
  <c r="H26" i="19" s="1"/>
  <c r="J26" i="19" s="1"/>
  <c r="M26" i="19" s="1"/>
  <c r="E26" i="19"/>
  <c r="B27" i="19"/>
  <c r="C27" i="19"/>
  <c r="D27" i="19"/>
  <c r="F27" i="19" s="1"/>
  <c r="E27" i="19"/>
  <c r="B28" i="19"/>
  <c r="C28" i="19"/>
  <c r="D28" i="19"/>
  <c r="F28" i="19" s="1"/>
  <c r="E28" i="19"/>
  <c r="B29" i="19"/>
  <c r="C29" i="19"/>
  <c r="D29" i="19"/>
  <c r="E29" i="19"/>
  <c r="B30" i="19"/>
  <c r="C30" i="19"/>
  <c r="D30" i="19"/>
  <c r="G30" i="19" s="1"/>
  <c r="E30" i="19"/>
  <c r="B31" i="19"/>
  <c r="B32" i="19"/>
  <c r="B33" i="19"/>
  <c r="B34" i="19"/>
  <c r="B35" i="19"/>
  <c r="H28" i="19" l="1"/>
  <c r="J28" i="19" s="1"/>
  <c r="M28" i="19" s="1"/>
  <c r="F29" i="19"/>
  <c r="G28" i="19"/>
  <c r="H30" i="19"/>
  <c r="J30" i="19" s="1"/>
  <c r="M30" i="19" s="1"/>
  <c r="H27" i="19"/>
  <c r="J27" i="19" s="1"/>
  <c r="M27" i="19" s="1"/>
  <c r="G26" i="19"/>
  <c r="F30" i="19"/>
  <c r="F26" i="19"/>
  <c r="H29" i="19"/>
  <c r="J29" i="19" s="1"/>
  <c r="M29" i="19" s="1"/>
  <c r="G29" i="19"/>
  <c r="G27" i="19"/>
  <c r="K98" i="24" l="1"/>
  <c r="B15" i="22" l="1"/>
  <c r="B11" i="19" s="1"/>
  <c r="B16" i="22"/>
  <c r="Q18" i="29"/>
  <c r="M17" i="25"/>
  <c r="I33" i="25" l="1"/>
  <c r="J33" i="25"/>
  <c r="L33" i="25" s="1"/>
  <c r="K33" i="25"/>
  <c r="M33" i="25"/>
  <c r="N33" i="25"/>
  <c r="I34" i="25"/>
  <c r="J34" i="25"/>
  <c r="K34" i="25"/>
  <c r="L34" i="25" s="1"/>
  <c r="M34" i="25"/>
  <c r="N34" i="25"/>
  <c r="I35" i="25"/>
  <c r="J35" i="25"/>
  <c r="K35" i="25"/>
  <c r="M35" i="25"/>
  <c r="N35" i="25"/>
  <c r="I36" i="25"/>
  <c r="J36" i="25"/>
  <c r="L36" i="25" s="1"/>
  <c r="K36" i="25"/>
  <c r="M36" i="25"/>
  <c r="N36" i="25"/>
  <c r="I37" i="25"/>
  <c r="J37" i="25"/>
  <c r="K37" i="25"/>
  <c r="M37" i="25"/>
  <c r="N37" i="25"/>
  <c r="L35" i="25" l="1"/>
  <c r="L37" i="25"/>
  <c r="I125" i="25"/>
  <c r="K17" i="25" l="1"/>
  <c r="K103" i="24" l="1"/>
  <c r="K102" i="24"/>
  <c r="K101" i="24"/>
  <c r="K100" i="24"/>
  <c r="K99" i="24"/>
  <c r="K97" i="24"/>
  <c r="T7" i="7" l="1"/>
  <c r="T385" i="7"/>
  <c r="T344" i="7"/>
  <c r="T303" i="7"/>
  <c r="T262" i="7"/>
  <c r="T221" i="7"/>
  <c r="T180" i="7"/>
  <c r="T139" i="7"/>
  <c r="T98" i="7"/>
  <c r="T57" i="7"/>
  <c r="T16" i="7"/>
  <c r="H250" i="7" a="1"/>
  <c r="H250" i="7" s="1"/>
  <c r="H414" i="7" a="1"/>
  <c r="H414" i="7" s="1"/>
  <c r="H413" i="7" a="1"/>
  <c r="H413" i="7" s="1"/>
  <c r="H373" i="7" a="1"/>
  <c r="H373" i="7" s="1"/>
  <c r="H372" i="7" a="1"/>
  <c r="H372" i="7" s="1"/>
  <c r="H332" i="7" a="1"/>
  <c r="H332" i="7" s="1"/>
  <c r="H331" i="7" a="1"/>
  <c r="H331" i="7" s="1"/>
  <c r="H291" i="7" a="1"/>
  <c r="H291" i="7" s="1"/>
  <c r="H290" i="7" a="1"/>
  <c r="H290" i="7" s="1"/>
  <c r="H249" i="7" a="1"/>
  <c r="H249" i="7" s="1"/>
  <c r="H168" i="7" a="1"/>
  <c r="H168" i="7" s="1"/>
  <c r="H167" i="7" a="1"/>
  <c r="H167" i="7" s="1"/>
  <c r="H127" i="7" a="1"/>
  <c r="H127" i="7" s="1"/>
  <c r="H126" i="7" a="1"/>
  <c r="H126" i="7" s="1"/>
  <c r="H86" i="7" a="1"/>
  <c r="H86" i="7" s="1"/>
  <c r="H85" i="7" a="1"/>
  <c r="H85" i="7" s="1"/>
  <c r="H45" i="7" a="1"/>
  <c r="H45" i="7" s="1"/>
  <c r="H44" i="7" a="1"/>
  <c r="H44" i="7" s="1"/>
  <c r="S50" i="7"/>
  <c r="K20" i="27"/>
  <c r="I17" i="25"/>
  <c r="D414" i="7" l="1" a="1"/>
  <c r="D414" i="7" s="1"/>
  <c r="D413" i="7" a="1"/>
  <c r="D413" i="7" s="1"/>
  <c r="D373" i="7" a="1"/>
  <c r="D373" i="7" s="1"/>
  <c r="D372" i="7" a="1"/>
  <c r="D372" i="7" s="1"/>
  <c r="D332" i="7" a="1"/>
  <c r="D332" i="7" s="1"/>
  <c r="D331" i="7" a="1"/>
  <c r="D331" i="7" s="1"/>
  <c r="D291" i="7" a="1"/>
  <c r="D291" i="7" s="1"/>
  <c r="D290" i="7" a="1"/>
  <c r="D290" i="7" s="1"/>
  <c r="D249" i="7" a="1"/>
  <c r="D249" i="7" s="1"/>
  <c r="D168" i="7" a="1"/>
  <c r="D168" i="7" s="1"/>
  <c r="D167" i="7" a="1"/>
  <c r="D167" i="7" s="1"/>
  <c r="D127" i="7" a="1"/>
  <c r="D127" i="7" s="1"/>
  <c r="D126" i="7" a="1"/>
  <c r="D126" i="7" s="1"/>
  <c r="O11" i="29"/>
  <c r="J12" i="29"/>
  <c r="K12" i="29"/>
  <c r="L12" i="29"/>
  <c r="N12" i="29"/>
  <c r="O12" i="29"/>
  <c r="J13" i="29"/>
  <c r="K13" i="29"/>
  <c r="M13" i="29" s="1"/>
  <c r="L13" i="29"/>
  <c r="N13" i="29"/>
  <c r="O13" i="29"/>
  <c r="J14" i="29"/>
  <c r="K14" i="29"/>
  <c r="L14" i="29"/>
  <c r="N14" i="29"/>
  <c r="O14" i="29"/>
  <c r="J15" i="29"/>
  <c r="K15" i="29"/>
  <c r="L15" i="29"/>
  <c r="N15" i="29"/>
  <c r="O15" i="29"/>
  <c r="J16" i="29"/>
  <c r="K16" i="29"/>
  <c r="M16" i="29" s="1"/>
  <c r="L16" i="29"/>
  <c r="N16" i="29"/>
  <c r="O16" i="29"/>
  <c r="J17" i="29"/>
  <c r="K17" i="29"/>
  <c r="M17" i="29" s="1"/>
  <c r="L17" i="29"/>
  <c r="N17" i="29"/>
  <c r="O17" i="29"/>
  <c r="J18" i="29"/>
  <c r="K18" i="29"/>
  <c r="L18" i="29"/>
  <c r="N18" i="29"/>
  <c r="O18" i="29"/>
  <c r="J19" i="29"/>
  <c r="K19" i="29"/>
  <c r="L19" i="29"/>
  <c r="N19" i="29"/>
  <c r="O19" i="29"/>
  <c r="J20" i="29"/>
  <c r="K20" i="29"/>
  <c r="M20" i="29" s="1"/>
  <c r="L20" i="29"/>
  <c r="N20" i="29"/>
  <c r="O20" i="29"/>
  <c r="J21" i="29"/>
  <c r="K21" i="29"/>
  <c r="M21" i="29" s="1"/>
  <c r="L21" i="29"/>
  <c r="N21" i="29"/>
  <c r="O21" i="29"/>
  <c r="J22" i="29"/>
  <c r="K22" i="29"/>
  <c r="L22" i="29"/>
  <c r="N22" i="29"/>
  <c r="O22" i="29"/>
  <c r="J23" i="29"/>
  <c r="K23" i="29"/>
  <c r="L23" i="29"/>
  <c r="N23" i="29"/>
  <c r="O23" i="29"/>
  <c r="J24" i="29"/>
  <c r="K24" i="29"/>
  <c r="M24" i="29" s="1"/>
  <c r="L24" i="29"/>
  <c r="N24" i="29"/>
  <c r="O24" i="29"/>
  <c r="J25" i="29"/>
  <c r="K25" i="29"/>
  <c r="M25" i="29" s="1"/>
  <c r="L25" i="29"/>
  <c r="N25" i="29"/>
  <c r="O25" i="29"/>
  <c r="J26" i="29"/>
  <c r="K26" i="29"/>
  <c r="L26" i="29"/>
  <c r="N26" i="29"/>
  <c r="O26" i="29"/>
  <c r="J27" i="29"/>
  <c r="K27" i="29"/>
  <c r="L27" i="29"/>
  <c r="N27" i="29"/>
  <c r="O27" i="29"/>
  <c r="J28" i="29"/>
  <c r="K28" i="29"/>
  <c r="M28" i="29" s="1"/>
  <c r="L28" i="29"/>
  <c r="N28" i="29"/>
  <c r="O28" i="29"/>
  <c r="J29" i="29"/>
  <c r="K29" i="29"/>
  <c r="M29" i="29" s="1"/>
  <c r="L29" i="29"/>
  <c r="N29" i="29"/>
  <c r="O29" i="29"/>
  <c r="J30" i="29"/>
  <c r="K30" i="29"/>
  <c r="L30" i="29"/>
  <c r="N30" i="29"/>
  <c r="O30" i="29"/>
  <c r="J31" i="29"/>
  <c r="K31" i="29"/>
  <c r="L31" i="29"/>
  <c r="N31" i="29"/>
  <c r="O31" i="29"/>
  <c r="J32" i="29"/>
  <c r="K32" i="29"/>
  <c r="M32" i="29" s="1"/>
  <c r="L32" i="29"/>
  <c r="N32" i="29"/>
  <c r="O32" i="29"/>
  <c r="J33" i="29"/>
  <c r="K33" i="29"/>
  <c r="M33" i="29" s="1"/>
  <c r="L33" i="29"/>
  <c r="N33" i="29"/>
  <c r="O33" i="29"/>
  <c r="J34" i="29"/>
  <c r="K34" i="29"/>
  <c r="L34" i="29"/>
  <c r="N34" i="29"/>
  <c r="O34" i="29"/>
  <c r="J35" i="29"/>
  <c r="K35" i="29"/>
  <c r="L35" i="29"/>
  <c r="N35" i="29"/>
  <c r="O35" i="29"/>
  <c r="J36" i="29"/>
  <c r="K36" i="29"/>
  <c r="M36" i="29" s="1"/>
  <c r="L36" i="29"/>
  <c r="N36" i="29"/>
  <c r="O36" i="29"/>
  <c r="J37" i="29"/>
  <c r="K37" i="29"/>
  <c r="M37" i="29" s="1"/>
  <c r="L37" i="29"/>
  <c r="N37" i="29"/>
  <c r="O37" i="29"/>
  <c r="J38" i="29"/>
  <c r="K38" i="29"/>
  <c r="L38" i="29"/>
  <c r="N38" i="29"/>
  <c r="O38" i="29"/>
  <c r="J39" i="29"/>
  <c r="K39" i="29"/>
  <c r="L39" i="29"/>
  <c r="N39" i="29"/>
  <c r="O39" i="29"/>
  <c r="J40" i="29"/>
  <c r="K40" i="29"/>
  <c r="M40" i="29" s="1"/>
  <c r="L40" i="29"/>
  <c r="N40" i="29"/>
  <c r="O40" i="29"/>
  <c r="J41" i="29"/>
  <c r="K41" i="29"/>
  <c r="M41" i="29" s="1"/>
  <c r="L41" i="29"/>
  <c r="N41" i="29"/>
  <c r="O41" i="29"/>
  <c r="J11" i="29"/>
  <c r="N11" i="29"/>
  <c r="L11" i="29"/>
  <c r="K11" i="29"/>
  <c r="J17" i="25"/>
  <c r="L17" i="25" s="1"/>
  <c r="N388" i="25"/>
  <c r="M388" i="25"/>
  <c r="K388" i="25"/>
  <c r="J388" i="25"/>
  <c r="I388" i="25"/>
  <c r="N387" i="25"/>
  <c r="M387" i="25"/>
  <c r="K387" i="25"/>
  <c r="J387" i="25"/>
  <c r="I387" i="25"/>
  <c r="N386" i="25"/>
  <c r="M386" i="25"/>
  <c r="K386" i="25"/>
  <c r="J386" i="25"/>
  <c r="I386" i="25"/>
  <c r="N385" i="25"/>
  <c r="M385" i="25"/>
  <c r="K385" i="25"/>
  <c r="J385" i="25"/>
  <c r="I385" i="25"/>
  <c r="N384" i="25"/>
  <c r="M384" i="25"/>
  <c r="K384" i="25"/>
  <c r="J384" i="25"/>
  <c r="I384" i="25"/>
  <c r="N383" i="25"/>
  <c r="M383" i="25"/>
  <c r="K383" i="25"/>
  <c r="J383" i="25"/>
  <c r="I383" i="25"/>
  <c r="N382" i="25"/>
  <c r="M382" i="25"/>
  <c r="K382" i="25"/>
  <c r="J382" i="25"/>
  <c r="I382" i="25"/>
  <c r="N381" i="25"/>
  <c r="M381" i="25"/>
  <c r="K381" i="25"/>
  <c r="J381" i="25"/>
  <c r="I381" i="25"/>
  <c r="N380" i="25"/>
  <c r="M380" i="25"/>
  <c r="K380" i="25"/>
  <c r="J380" i="25"/>
  <c r="I380" i="25"/>
  <c r="N379" i="25"/>
  <c r="M379" i="25"/>
  <c r="K379" i="25"/>
  <c r="J379" i="25"/>
  <c r="I379" i="25"/>
  <c r="N378" i="25"/>
  <c r="M378" i="25"/>
  <c r="K378" i="25"/>
  <c r="J378" i="25"/>
  <c r="I378" i="25"/>
  <c r="N377" i="25"/>
  <c r="M377" i="25"/>
  <c r="K377" i="25"/>
  <c r="J377" i="25"/>
  <c r="I377" i="25"/>
  <c r="N376" i="25"/>
  <c r="M376" i="25"/>
  <c r="K376" i="25"/>
  <c r="J376" i="25"/>
  <c r="I376" i="25"/>
  <c r="N375" i="25"/>
  <c r="M375" i="25"/>
  <c r="K375" i="25"/>
  <c r="J375" i="25"/>
  <c r="I375" i="25"/>
  <c r="N374" i="25"/>
  <c r="M374" i="25"/>
  <c r="K374" i="25"/>
  <c r="J374" i="25"/>
  <c r="I374" i="25"/>
  <c r="N373" i="25"/>
  <c r="M373" i="25"/>
  <c r="K373" i="25"/>
  <c r="J373" i="25"/>
  <c r="I373" i="25"/>
  <c r="N372" i="25"/>
  <c r="M372" i="25"/>
  <c r="K372" i="25"/>
  <c r="J372" i="25"/>
  <c r="I372" i="25"/>
  <c r="N371" i="25"/>
  <c r="M371" i="25"/>
  <c r="K371" i="25"/>
  <c r="J371" i="25"/>
  <c r="I371" i="25"/>
  <c r="N370" i="25"/>
  <c r="M370" i="25"/>
  <c r="K370" i="25"/>
  <c r="J370" i="25"/>
  <c r="I370" i="25"/>
  <c r="N369" i="25"/>
  <c r="M369" i="25"/>
  <c r="K369" i="25"/>
  <c r="J369" i="25"/>
  <c r="I369" i="25"/>
  <c r="N368" i="25"/>
  <c r="M368" i="25"/>
  <c r="K368" i="25"/>
  <c r="J368" i="25"/>
  <c r="I368" i="25"/>
  <c r="N367" i="25"/>
  <c r="M367" i="25"/>
  <c r="K367" i="25"/>
  <c r="J367" i="25"/>
  <c r="I367" i="25"/>
  <c r="N366" i="25"/>
  <c r="M366" i="25"/>
  <c r="K366" i="25"/>
  <c r="J366" i="25"/>
  <c r="I366" i="25"/>
  <c r="N365" i="25"/>
  <c r="M365" i="25"/>
  <c r="K365" i="25"/>
  <c r="J365" i="25"/>
  <c r="I365" i="25"/>
  <c r="N364" i="25"/>
  <c r="M364" i="25"/>
  <c r="K364" i="25"/>
  <c r="J364" i="25"/>
  <c r="I364" i="25"/>
  <c r="N363" i="25"/>
  <c r="M363" i="25"/>
  <c r="K363" i="25"/>
  <c r="J363" i="25"/>
  <c r="I363" i="25"/>
  <c r="N362" i="25"/>
  <c r="M362" i="25"/>
  <c r="K362" i="25"/>
  <c r="J362" i="25"/>
  <c r="I362" i="25"/>
  <c r="N361" i="25"/>
  <c r="M361" i="25"/>
  <c r="K361" i="25"/>
  <c r="J361" i="25"/>
  <c r="I361" i="25"/>
  <c r="N360" i="25"/>
  <c r="M360" i="25"/>
  <c r="K360" i="25"/>
  <c r="J360" i="25"/>
  <c r="I360" i="25"/>
  <c r="N359" i="25"/>
  <c r="M359" i="25"/>
  <c r="K359" i="25"/>
  <c r="J359" i="25"/>
  <c r="I359" i="25"/>
  <c r="N348" i="25"/>
  <c r="M348" i="25"/>
  <c r="K348" i="25"/>
  <c r="J348" i="25"/>
  <c r="I348" i="25"/>
  <c r="N347" i="25"/>
  <c r="M347" i="25"/>
  <c r="K347" i="25"/>
  <c r="J347" i="25"/>
  <c r="I347" i="25"/>
  <c r="N346" i="25"/>
  <c r="M346" i="25"/>
  <c r="K346" i="25"/>
  <c r="J346" i="25"/>
  <c r="I346" i="25"/>
  <c r="N345" i="25"/>
  <c r="M345" i="25"/>
  <c r="K345" i="25"/>
  <c r="J345" i="25"/>
  <c r="I345" i="25"/>
  <c r="N344" i="25"/>
  <c r="M344" i="25"/>
  <c r="K344" i="25"/>
  <c r="J344" i="25"/>
  <c r="I344" i="25"/>
  <c r="N343" i="25"/>
  <c r="M343" i="25"/>
  <c r="K343" i="25"/>
  <c r="J343" i="25"/>
  <c r="I343" i="25"/>
  <c r="N342" i="25"/>
  <c r="M342" i="25"/>
  <c r="K342" i="25"/>
  <c r="J342" i="25"/>
  <c r="I342" i="25"/>
  <c r="N341" i="25"/>
  <c r="M341" i="25"/>
  <c r="K341" i="25"/>
  <c r="J341" i="25"/>
  <c r="I341" i="25"/>
  <c r="N340" i="25"/>
  <c r="M340" i="25"/>
  <c r="K340" i="25"/>
  <c r="J340" i="25"/>
  <c r="I340" i="25"/>
  <c r="N339" i="25"/>
  <c r="M339" i="25"/>
  <c r="K339" i="25"/>
  <c r="J339" i="25"/>
  <c r="I339" i="25"/>
  <c r="N338" i="25"/>
  <c r="M338" i="25"/>
  <c r="K338" i="25"/>
  <c r="J338" i="25"/>
  <c r="I338" i="25"/>
  <c r="N337" i="25"/>
  <c r="M337" i="25"/>
  <c r="K337" i="25"/>
  <c r="J337" i="25"/>
  <c r="I337" i="25"/>
  <c r="N336" i="25"/>
  <c r="M336" i="25"/>
  <c r="K336" i="25"/>
  <c r="J336" i="25"/>
  <c r="I336" i="25"/>
  <c r="N335" i="25"/>
  <c r="M335" i="25"/>
  <c r="K335" i="25"/>
  <c r="J335" i="25"/>
  <c r="I335" i="25"/>
  <c r="N334" i="25"/>
  <c r="M334" i="25"/>
  <c r="K334" i="25"/>
  <c r="J334" i="25"/>
  <c r="I334" i="25"/>
  <c r="N333" i="25"/>
  <c r="M333" i="25"/>
  <c r="K333" i="25"/>
  <c r="J333" i="25"/>
  <c r="I333" i="25"/>
  <c r="N332" i="25"/>
  <c r="M332" i="25"/>
  <c r="K332" i="25"/>
  <c r="J332" i="25"/>
  <c r="I332" i="25"/>
  <c r="N331" i="25"/>
  <c r="M331" i="25"/>
  <c r="K331" i="25"/>
  <c r="J331" i="25"/>
  <c r="I331" i="25"/>
  <c r="N330" i="25"/>
  <c r="M330" i="25"/>
  <c r="K330" i="25"/>
  <c r="J330" i="25"/>
  <c r="I330" i="25"/>
  <c r="N329" i="25"/>
  <c r="M329" i="25"/>
  <c r="K329" i="25"/>
  <c r="J329" i="25"/>
  <c r="I329" i="25"/>
  <c r="N328" i="25"/>
  <c r="M328" i="25"/>
  <c r="K328" i="25"/>
  <c r="J328" i="25"/>
  <c r="I328" i="25"/>
  <c r="N327" i="25"/>
  <c r="M327" i="25"/>
  <c r="K327" i="25"/>
  <c r="J327" i="25"/>
  <c r="I327" i="25"/>
  <c r="N326" i="25"/>
  <c r="M326" i="25"/>
  <c r="K326" i="25"/>
  <c r="J326" i="25"/>
  <c r="I326" i="25"/>
  <c r="N325" i="25"/>
  <c r="M325" i="25"/>
  <c r="K325" i="25"/>
  <c r="J325" i="25"/>
  <c r="I325" i="25"/>
  <c r="N324" i="25"/>
  <c r="M324" i="25"/>
  <c r="K324" i="25"/>
  <c r="J324" i="25"/>
  <c r="I324" i="25"/>
  <c r="N323" i="25"/>
  <c r="M323" i="25"/>
  <c r="K323" i="25"/>
  <c r="J323" i="25"/>
  <c r="I323" i="25"/>
  <c r="N322" i="25"/>
  <c r="M322" i="25"/>
  <c r="K322" i="25"/>
  <c r="J322" i="25"/>
  <c r="I322" i="25"/>
  <c r="N321" i="25"/>
  <c r="M321" i="25"/>
  <c r="K321" i="25"/>
  <c r="J321" i="25"/>
  <c r="I321" i="25"/>
  <c r="N320" i="25"/>
  <c r="M320" i="25"/>
  <c r="K320" i="25"/>
  <c r="J320" i="25"/>
  <c r="I320" i="25"/>
  <c r="N309" i="25"/>
  <c r="M309" i="25"/>
  <c r="K309" i="25"/>
  <c r="J309" i="25"/>
  <c r="I309" i="25"/>
  <c r="N308" i="25"/>
  <c r="M308" i="25"/>
  <c r="K308" i="25"/>
  <c r="J308" i="25"/>
  <c r="I308" i="25"/>
  <c r="N307" i="25"/>
  <c r="M307" i="25"/>
  <c r="K307" i="25"/>
  <c r="J307" i="25"/>
  <c r="I307" i="25"/>
  <c r="N306" i="25"/>
  <c r="M306" i="25"/>
  <c r="K306" i="25"/>
  <c r="J306" i="25"/>
  <c r="I306" i="25"/>
  <c r="N305" i="25"/>
  <c r="M305" i="25"/>
  <c r="K305" i="25"/>
  <c r="J305" i="25"/>
  <c r="I305" i="25"/>
  <c r="N304" i="25"/>
  <c r="M304" i="25"/>
  <c r="K304" i="25"/>
  <c r="J304" i="25"/>
  <c r="I304" i="25"/>
  <c r="N303" i="25"/>
  <c r="M303" i="25"/>
  <c r="K303" i="25"/>
  <c r="J303" i="25"/>
  <c r="I303" i="25"/>
  <c r="N302" i="25"/>
  <c r="M302" i="25"/>
  <c r="K302" i="25"/>
  <c r="J302" i="25"/>
  <c r="I302" i="25"/>
  <c r="N301" i="25"/>
  <c r="M301" i="25"/>
  <c r="K301" i="25"/>
  <c r="J301" i="25"/>
  <c r="I301" i="25"/>
  <c r="N300" i="25"/>
  <c r="M300" i="25"/>
  <c r="K300" i="25"/>
  <c r="J300" i="25"/>
  <c r="I300" i="25"/>
  <c r="N299" i="25"/>
  <c r="M299" i="25"/>
  <c r="K299" i="25"/>
  <c r="J299" i="25"/>
  <c r="I299" i="25"/>
  <c r="N298" i="25"/>
  <c r="M298" i="25"/>
  <c r="K298" i="25"/>
  <c r="J298" i="25"/>
  <c r="I298" i="25"/>
  <c r="N297" i="25"/>
  <c r="M297" i="25"/>
  <c r="K297" i="25"/>
  <c r="J297" i="25"/>
  <c r="I297" i="25"/>
  <c r="N296" i="25"/>
  <c r="M296" i="25"/>
  <c r="K296" i="25"/>
  <c r="J296" i="25"/>
  <c r="I296" i="25"/>
  <c r="N295" i="25"/>
  <c r="M295" i="25"/>
  <c r="K295" i="25"/>
  <c r="J295" i="25"/>
  <c r="I295" i="25"/>
  <c r="N294" i="25"/>
  <c r="M294" i="25"/>
  <c r="K294" i="25"/>
  <c r="J294" i="25"/>
  <c r="I294" i="25"/>
  <c r="N293" i="25"/>
  <c r="M293" i="25"/>
  <c r="K293" i="25"/>
  <c r="J293" i="25"/>
  <c r="I293" i="25"/>
  <c r="N292" i="25"/>
  <c r="M292" i="25"/>
  <c r="K292" i="25"/>
  <c r="J292" i="25"/>
  <c r="I292" i="25"/>
  <c r="N291" i="25"/>
  <c r="M291" i="25"/>
  <c r="K291" i="25"/>
  <c r="J291" i="25"/>
  <c r="I291" i="25"/>
  <c r="N290" i="25"/>
  <c r="M290" i="25"/>
  <c r="K290" i="25"/>
  <c r="J290" i="25"/>
  <c r="I290" i="25"/>
  <c r="N289" i="25"/>
  <c r="M289" i="25"/>
  <c r="K289" i="25"/>
  <c r="J289" i="25"/>
  <c r="I289" i="25"/>
  <c r="N288" i="25"/>
  <c r="M288" i="25"/>
  <c r="K288" i="25"/>
  <c r="J288" i="25"/>
  <c r="I288" i="25"/>
  <c r="N287" i="25"/>
  <c r="M287" i="25"/>
  <c r="K287" i="25"/>
  <c r="J287" i="25"/>
  <c r="I287" i="25"/>
  <c r="N286" i="25"/>
  <c r="M286" i="25"/>
  <c r="K286" i="25"/>
  <c r="J286" i="25"/>
  <c r="I286" i="25"/>
  <c r="N285" i="25"/>
  <c r="M285" i="25"/>
  <c r="K285" i="25"/>
  <c r="J285" i="25"/>
  <c r="I285" i="25"/>
  <c r="N284" i="25"/>
  <c r="M284" i="25"/>
  <c r="K284" i="25"/>
  <c r="J284" i="25"/>
  <c r="I284" i="25"/>
  <c r="N283" i="25"/>
  <c r="M283" i="25"/>
  <c r="K283" i="25"/>
  <c r="J283" i="25"/>
  <c r="I283" i="25"/>
  <c r="N282" i="25"/>
  <c r="M282" i="25"/>
  <c r="K282" i="25"/>
  <c r="J282" i="25"/>
  <c r="I282" i="25"/>
  <c r="N271" i="25"/>
  <c r="M271" i="25"/>
  <c r="K271" i="25"/>
  <c r="J271" i="25"/>
  <c r="I271" i="25"/>
  <c r="N270" i="25"/>
  <c r="M270" i="25"/>
  <c r="K270" i="25"/>
  <c r="J270" i="25"/>
  <c r="I270" i="25"/>
  <c r="N269" i="25"/>
  <c r="M269" i="25"/>
  <c r="K269" i="25"/>
  <c r="J269" i="25"/>
  <c r="I269" i="25"/>
  <c r="N268" i="25"/>
  <c r="M268" i="25"/>
  <c r="K268" i="25"/>
  <c r="J268" i="25"/>
  <c r="I268" i="25"/>
  <c r="N267" i="25"/>
  <c r="M267" i="25"/>
  <c r="K267" i="25"/>
  <c r="J267" i="25"/>
  <c r="I267" i="25"/>
  <c r="N266" i="25"/>
  <c r="M266" i="25"/>
  <c r="K266" i="25"/>
  <c r="J266" i="25"/>
  <c r="I266" i="25"/>
  <c r="N265" i="25"/>
  <c r="M265" i="25"/>
  <c r="K265" i="25"/>
  <c r="J265" i="25"/>
  <c r="I265" i="25"/>
  <c r="N264" i="25"/>
  <c r="M264" i="25"/>
  <c r="K264" i="25"/>
  <c r="J264" i="25"/>
  <c r="I264" i="25"/>
  <c r="N263" i="25"/>
  <c r="M263" i="25"/>
  <c r="K263" i="25"/>
  <c r="J263" i="25"/>
  <c r="I263" i="25"/>
  <c r="N262" i="25"/>
  <c r="M262" i="25"/>
  <c r="K262" i="25"/>
  <c r="J262" i="25"/>
  <c r="I262" i="25"/>
  <c r="N261" i="25"/>
  <c r="M261" i="25"/>
  <c r="K261" i="25"/>
  <c r="J261" i="25"/>
  <c r="I261" i="25"/>
  <c r="N260" i="25"/>
  <c r="M260" i="25"/>
  <c r="K260" i="25"/>
  <c r="J260" i="25"/>
  <c r="I260" i="25"/>
  <c r="N259" i="25"/>
  <c r="M259" i="25"/>
  <c r="K259" i="25"/>
  <c r="J259" i="25"/>
  <c r="I259" i="25"/>
  <c r="N258" i="25"/>
  <c r="M258" i="25"/>
  <c r="K258" i="25"/>
  <c r="J258" i="25"/>
  <c r="I258" i="25"/>
  <c r="N257" i="25"/>
  <c r="M257" i="25"/>
  <c r="K257" i="25"/>
  <c r="J257" i="25"/>
  <c r="I257" i="25"/>
  <c r="N256" i="25"/>
  <c r="M256" i="25"/>
  <c r="K256" i="25"/>
  <c r="J256" i="25"/>
  <c r="I256" i="25"/>
  <c r="N255" i="25"/>
  <c r="M255" i="25"/>
  <c r="K255" i="25"/>
  <c r="J255" i="25"/>
  <c r="I255" i="25"/>
  <c r="N254" i="25"/>
  <c r="M254" i="25"/>
  <c r="K254" i="25"/>
  <c r="J254" i="25"/>
  <c r="I254" i="25"/>
  <c r="N253" i="25"/>
  <c r="M253" i="25"/>
  <c r="K253" i="25"/>
  <c r="J253" i="25"/>
  <c r="I253" i="25"/>
  <c r="N252" i="25"/>
  <c r="M252" i="25"/>
  <c r="K252" i="25"/>
  <c r="J252" i="25"/>
  <c r="I252" i="25"/>
  <c r="N251" i="25"/>
  <c r="M251" i="25"/>
  <c r="K251" i="25"/>
  <c r="J251" i="25"/>
  <c r="I251" i="25"/>
  <c r="N250" i="25"/>
  <c r="M250" i="25"/>
  <c r="K250" i="25"/>
  <c r="J250" i="25"/>
  <c r="I250" i="25"/>
  <c r="N249" i="25"/>
  <c r="M249" i="25"/>
  <c r="K249" i="25"/>
  <c r="J249" i="25"/>
  <c r="I249" i="25"/>
  <c r="N248" i="25"/>
  <c r="M248" i="25"/>
  <c r="K248" i="25"/>
  <c r="J248" i="25"/>
  <c r="I248" i="25"/>
  <c r="N247" i="25"/>
  <c r="M247" i="25"/>
  <c r="K247" i="25"/>
  <c r="J247" i="25"/>
  <c r="I247" i="25"/>
  <c r="N246" i="25"/>
  <c r="M246" i="25"/>
  <c r="K246" i="25"/>
  <c r="J246" i="25"/>
  <c r="I246" i="25"/>
  <c r="N245" i="25"/>
  <c r="M245" i="25"/>
  <c r="K245" i="25"/>
  <c r="J245" i="25"/>
  <c r="I245" i="25"/>
  <c r="N244" i="25"/>
  <c r="M244" i="25"/>
  <c r="K244" i="25"/>
  <c r="J244" i="25"/>
  <c r="I244" i="25"/>
  <c r="N243" i="25"/>
  <c r="M243" i="25"/>
  <c r="K243" i="25"/>
  <c r="J243" i="25"/>
  <c r="I243" i="25"/>
  <c r="N242" i="25"/>
  <c r="M242" i="25"/>
  <c r="K242" i="25"/>
  <c r="J242" i="25"/>
  <c r="I242" i="25"/>
  <c r="N231" i="25"/>
  <c r="M231" i="25"/>
  <c r="K231" i="25"/>
  <c r="J231" i="25"/>
  <c r="I231" i="25"/>
  <c r="N230" i="25"/>
  <c r="M230" i="25"/>
  <c r="K230" i="25"/>
  <c r="J230" i="25"/>
  <c r="I230" i="25"/>
  <c r="N229" i="25"/>
  <c r="M229" i="25"/>
  <c r="K229" i="25"/>
  <c r="J229" i="25"/>
  <c r="I229" i="25"/>
  <c r="N228" i="25"/>
  <c r="M228" i="25"/>
  <c r="K228" i="25"/>
  <c r="J228" i="25"/>
  <c r="I228" i="25"/>
  <c r="N227" i="25"/>
  <c r="M227" i="25"/>
  <c r="K227" i="25"/>
  <c r="J227" i="25"/>
  <c r="I227" i="25"/>
  <c r="N226" i="25"/>
  <c r="M226" i="25"/>
  <c r="K226" i="25"/>
  <c r="J226" i="25"/>
  <c r="I226" i="25"/>
  <c r="N225" i="25"/>
  <c r="M225" i="25"/>
  <c r="K225" i="25"/>
  <c r="J225" i="25"/>
  <c r="I225" i="25"/>
  <c r="N224" i="25"/>
  <c r="M224" i="25"/>
  <c r="K224" i="25"/>
  <c r="J224" i="25"/>
  <c r="I224" i="25"/>
  <c r="N223" i="25"/>
  <c r="M223" i="25"/>
  <c r="K223" i="25"/>
  <c r="J223" i="25"/>
  <c r="I223" i="25"/>
  <c r="N222" i="25"/>
  <c r="M222" i="25"/>
  <c r="K222" i="25"/>
  <c r="J222" i="25"/>
  <c r="I222" i="25"/>
  <c r="N221" i="25"/>
  <c r="M221" i="25"/>
  <c r="K221" i="25"/>
  <c r="J221" i="25"/>
  <c r="I221" i="25"/>
  <c r="N220" i="25"/>
  <c r="M220" i="25"/>
  <c r="K220" i="25"/>
  <c r="J220" i="25"/>
  <c r="I220" i="25"/>
  <c r="N219" i="25"/>
  <c r="M219" i="25"/>
  <c r="K219" i="25"/>
  <c r="J219" i="25"/>
  <c r="I219" i="25"/>
  <c r="N218" i="25"/>
  <c r="M218" i="25"/>
  <c r="K218" i="25"/>
  <c r="J218" i="25"/>
  <c r="I218" i="25"/>
  <c r="N217" i="25"/>
  <c r="M217" i="25"/>
  <c r="K217" i="25"/>
  <c r="J217" i="25"/>
  <c r="I217" i="25"/>
  <c r="N216" i="25"/>
  <c r="M216" i="25"/>
  <c r="K216" i="25"/>
  <c r="J216" i="25"/>
  <c r="I216" i="25"/>
  <c r="N215" i="25"/>
  <c r="M215" i="25"/>
  <c r="K215" i="25"/>
  <c r="J215" i="25"/>
  <c r="I215" i="25"/>
  <c r="N214" i="25"/>
  <c r="M214" i="25"/>
  <c r="K214" i="25"/>
  <c r="J214" i="25"/>
  <c r="I214" i="25"/>
  <c r="N213" i="25"/>
  <c r="M213" i="25"/>
  <c r="K213" i="25"/>
  <c r="J213" i="25"/>
  <c r="I213" i="25"/>
  <c r="N212" i="25"/>
  <c r="M212" i="25"/>
  <c r="K212" i="25"/>
  <c r="J212" i="25"/>
  <c r="I212" i="25"/>
  <c r="N211" i="25"/>
  <c r="M211" i="25"/>
  <c r="K211" i="25"/>
  <c r="J211" i="25"/>
  <c r="I211" i="25"/>
  <c r="N210" i="25"/>
  <c r="M210" i="25"/>
  <c r="K210" i="25"/>
  <c r="J210" i="25"/>
  <c r="I210" i="25"/>
  <c r="N209" i="25"/>
  <c r="M209" i="25"/>
  <c r="K209" i="25"/>
  <c r="J209" i="25"/>
  <c r="I209" i="25"/>
  <c r="N208" i="25"/>
  <c r="M208" i="25"/>
  <c r="K208" i="25"/>
  <c r="J208" i="25"/>
  <c r="I208" i="25"/>
  <c r="N207" i="25"/>
  <c r="M207" i="25"/>
  <c r="K207" i="25"/>
  <c r="J207" i="25"/>
  <c r="I207" i="25"/>
  <c r="N206" i="25"/>
  <c r="M206" i="25"/>
  <c r="K206" i="25"/>
  <c r="J206" i="25"/>
  <c r="I206" i="25"/>
  <c r="N205" i="25"/>
  <c r="M205" i="25"/>
  <c r="K205" i="25"/>
  <c r="J205" i="25"/>
  <c r="I205" i="25"/>
  <c r="N204" i="25"/>
  <c r="M204" i="25"/>
  <c r="K204" i="25"/>
  <c r="J204" i="25"/>
  <c r="I204" i="25"/>
  <c r="N203" i="25"/>
  <c r="M203" i="25"/>
  <c r="K203" i="25"/>
  <c r="J203" i="25"/>
  <c r="I203" i="25"/>
  <c r="N202" i="25"/>
  <c r="M202" i="25"/>
  <c r="K202" i="25"/>
  <c r="J202" i="25"/>
  <c r="I202" i="25"/>
  <c r="N192" i="25"/>
  <c r="M192" i="25"/>
  <c r="K192" i="25"/>
  <c r="J192" i="25"/>
  <c r="I192" i="25"/>
  <c r="N191" i="25"/>
  <c r="M191" i="25"/>
  <c r="K191" i="25"/>
  <c r="J191" i="25"/>
  <c r="I191" i="25"/>
  <c r="N190" i="25"/>
  <c r="M190" i="25"/>
  <c r="K190" i="25"/>
  <c r="J190" i="25"/>
  <c r="I190" i="25"/>
  <c r="N189" i="25"/>
  <c r="M189" i="25"/>
  <c r="K189" i="25"/>
  <c r="J189" i="25"/>
  <c r="I189" i="25"/>
  <c r="N188" i="25"/>
  <c r="M188" i="25"/>
  <c r="K188" i="25"/>
  <c r="J188" i="25"/>
  <c r="I188" i="25"/>
  <c r="N187" i="25"/>
  <c r="M187" i="25"/>
  <c r="K187" i="25"/>
  <c r="J187" i="25"/>
  <c r="I187" i="25"/>
  <c r="N186" i="25"/>
  <c r="M186" i="25"/>
  <c r="K186" i="25"/>
  <c r="J186" i="25"/>
  <c r="I186" i="25"/>
  <c r="N185" i="25"/>
  <c r="M185" i="25"/>
  <c r="K185" i="25"/>
  <c r="J185" i="25"/>
  <c r="I185" i="25"/>
  <c r="N184" i="25"/>
  <c r="M184" i="25"/>
  <c r="K184" i="25"/>
  <c r="J184" i="25"/>
  <c r="I184" i="25"/>
  <c r="N183" i="25"/>
  <c r="M183" i="25"/>
  <c r="K183" i="25"/>
  <c r="J183" i="25"/>
  <c r="I183" i="25"/>
  <c r="N182" i="25"/>
  <c r="M182" i="25"/>
  <c r="K182" i="25"/>
  <c r="J182" i="25"/>
  <c r="I182" i="25"/>
  <c r="N181" i="25"/>
  <c r="M181" i="25"/>
  <c r="K181" i="25"/>
  <c r="J181" i="25"/>
  <c r="I181" i="25"/>
  <c r="N180" i="25"/>
  <c r="M180" i="25"/>
  <c r="K180" i="25"/>
  <c r="J180" i="25"/>
  <c r="I180" i="25"/>
  <c r="N179" i="25"/>
  <c r="M179" i="25"/>
  <c r="K179" i="25"/>
  <c r="J179" i="25"/>
  <c r="I179" i="25"/>
  <c r="N178" i="25"/>
  <c r="M178" i="25"/>
  <c r="K178" i="25"/>
  <c r="J178" i="25"/>
  <c r="I178" i="25"/>
  <c r="N177" i="25"/>
  <c r="M177" i="25"/>
  <c r="K177" i="25"/>
  <c r="J177" i="25"/>
  <c r="I177" i="25"/>
  <c r="N176" i="25"/>
  <c r="M176" i="25"/>
  <c r="K176" i="25"/>
  <c r="J176" i="25"/>
  <c r="I176" i="25"/>
  <c r="N175" i="25"/>
  <c r="M175" i="25"/>
  <c r="K175" i="25"/>
  <c r="J175" i="25"/>
  <c r="I175" i="25"/>
  <c r="N174" i="25"/>
  <c r="M174" i="25"/>
  <c r="K174" i="25"/>
  <c r="J174" i="25"/>
  <c r="I174" i="25"/>
  <c r="N173" i="25"/>
  <c r="M173" i="25"/>
  <c r="K173" i="25"/>
  <c r="J173" i="25"/>
  <c r="I173" i="25"/>
  <c r="N172" i="25"/>
  <c r="M172" i="25"/>
  <c r="K172" i="25"/>
  <c r="J172" i="25"/>
  <c r="I172" i="25"/>
  <c r="N171" i="25"/>
  <c r="M171" i="25"/>
  <c r="K171" i="25"/>
  <c r="J171" i="25"/>
  <c r="I171" i="25"/>
  <c r="N170" i="25"/>
  <c r="M170" i="25"/>
  <c r="K170" i="25"/>
  <c r="J170" i="25"/>
  <c r="I170" i="25"/>
  <c r="N169" i="25"/>
  <c r="M169" i="25"/>
  <c r="K169" i="25"/>
  <c r="J169" i="25"/>
  <c r="I169" i="25"/>
  <c r="N168" i="25"/>
  <c r="M168" i="25"/>
  <c r="K168" i="25"/>
  <c r="J168" i="25"/>
  <c r="I168" i="25"/>
  <c r="N167" i="25"/>
  <c r="M167" i="25"/>
  <c r="K167" i="25"/>
  <c r="J167" i="25"/>
  <c r="I167" i="25"/>
  <c r="N166" i="25"/>
  <c r="M166" i="25"/>
  <c r="K166" i="25"/>
  <c r="J166" i="25"/>
  <c r="I166" i="25"/>
  <c r="N165" i="25"/>
  <c r="M165" i="25"/>
  <c r="K165" i="25"/>
  <c r="J165" i="25"/>
  <c r="I165" i="25"/>
  <c r="N164" i="25"/>
  <c r="M164" i="25"/>
  <c r="K164" i="25"/>
  <c r="J164" i="25"/>
  <c r="I164" i="25"/>
  <c r="N153" i="25"/>
  <c r="M153" i="25"/>
  <c r="K153" i="25"/>
  <c r="J153" i="25"/>
  <c r="I153" i="25"/>
  <c r="N152" i="25"/>
  <c r="M152" i="25"/>
  <c r="K152" i="25"/>
  <c r="J152" i="25"/>
  <c r="I152" i="25"/>
  <c r="N151" i="25"/>
  <c r="M151" i="25"/>
  <c r="K151" i="25"/>
  <c r="J151" i="25"/>
  <c r="I151" i="25"/>
  <c r="N150" i="25"/>
  <c r="M150" i="25"/>
  <c r="K150" i="25"/>
  <c r="J150" i="25"/>
  <c r="I150" i="25"/>
  <c r="N149" i="25"/>
  <c r="M149" i="25"/>
  <c r="K149" i="25"/>
  <c r="J149" i="25"/>
  <c r="I149" i="25"/>
  <c r="N148" i="25"/>
  <c r="M148" i="25"/>
  <c r="K148" i="25"/>
  <c r="J148" i="25"/>
  <c r="I148" i="25"/>
  <c r="N147" i="25"/>
  <c r="M147" i="25"/>
  <c r="K147" i="25"/>
  <c r="J147" i="25"/>
  <c r="I147" i="25"/>
  <c r="N146" i="25"/>
  <c r="M146" i="25"/>
  <c r="K146" i="25"/>
  <c r="J146" i="25"/>
  <c r="I146" i="25"/>
  <c r="N145" i="25"/>
  <c r="M145" i="25"/>
  <c r="K145" i="25"/>
  <c r="J145" i="25"/>
  <c r="I145" i="25"/>
  <c r="N144" i="25"/>
  <c r="M144" i="25"/>
  <c r="K144" i="25"/>
  <c r="J144" i="25"/>
  <c r="I144" i="25"/>
  <c r="N143" i="25"/>
  <c r="M143" i="25"/>
  <c r="K143" i="25"/>
  <c r="J143" i="25"/>
  <c r="I143" i="25"/>
  <c r="N142" i="25"/>
  <c r="M142" i="25"/>
  <c r="K142" i="25"/>
  <c r="J142" i="25"/>
  <c r="I142" i="25"/>
  <c r="N141" i="25"/>
  <c r="M141" i="25"/>
  <c r="K141" i="25"/>
  <c r="J141" i="25"/>
  <c r="I141" i="25"/>
  <c r="N140" i="25"/>
  <c r="M140" i="25"/>
  <c r="K140" i="25"/>
  <c r="J140" i="25"/>
  <c r="I140" i="25"/>
  <c r="N139" i="25"/>
  <c r="M139" i="25"/>
  <c r="K139" i="25"/>
  <c r="J139" i="25"/>
  <c r="I139" i="25"/>
  <c r="N138" i="25"/>
  <c r="M138" i="25"/>
  <c r="K138" i="25"/>
  <c r="J138" i="25"/>
  <c r="I138" i="25"/>
  <c r="N137" i="25"/>
  <c r="M137" i="25"/>
  <c r="K137" i="25"/>
  <c r="J137" i="25"/>
  <c r="I137" i="25"/>
  <c r="N136" i="25"/>
  <c r="M136" i="25"/>
  <c r="K136" i="25"/>
  <c r="J136" i="25"/>
  <c r="I136" i="25"/>
  <c r="N135" i="25"/>
  <c r="M135" i="25"/>
  <c r="K135" i="25"/>
  <c r="J135" i="25"/>
  <c r="I135" i="25"/>
  <c r="N134" i="25"/>
  <c r="M134" i="25"/>
  <c r="K134" i="25"/>
  <c r="J134" i="25"/>
  <c r="I134" i="25"/>
  <c r="N133" i="25"/>
  <c r="M133" i="25"/>
  <c r="K133" i="25"/>
  <c r="J133" i="25"/>
  <c r="I133" i="25"/>
  <c r="N132" i="25"/>
  <c r="M132" i="25"/>
  <c r="K132" i="25"/>
  <c r="J132" i="25"/>
  <c r="I132" i="25"/>
  <c r="N131" i="25"/>
  <c r="M131" i="25"/>
  <c r="K131" i="25"/>
  <c r="J131" i="25"/>
  <c r="I131" i="25"/>
  <c r="N130" i="25"/>
  <c r="M130" i="25"/>
  <c r="K130" i="25"/>
  <c r="J130" i="25"/>
  <c r="I130" i="25"/>
  <c r="N129" i="25"/>
  <c r="M129" i="25"/>
  <c r="K129" i="25"/>
  <c r="J129" i="25"/>
  <c r="I129" i="25"/>
  <c r="N128" i="25"/>
  <c r="M128" i="25"/>
  <c r="K128" i="25"/>
  <c r="J128" i="25"/>
  <c r="I128" i="25"/>
  <c r="N127" i="25"/>
  <c r="M127" i="25"/>
  <c r="K127" i="25"/>
  <c r="J127" i="25"/>
  <c r="I127" i="25"/>
  <c r="N126" i="25"/>
  <c r="M126" i="25"/>
  <c r="K126" i="25"/>
  <c r="J126" i="25"/>
  <c r="I126" i="25"/>
  <c r="N125" i="25"/>
  <c r="M125" i="25"/>
  <c r="K125" i="25"/>
  <c r="J125" i="25"/>
  <c r="N114" i="25"/>
  <c r="M114" i="25"/>
  <c r="K114" i="25"/>
  <c r="J114" i="25"/>
  <c r="I114" i="25"/>
  <c r="N113" i="25"/>
  <c r="M113" i="25"/>
  <c r="K113" i="25"/>
  <c r="J113" i="25"/>
  <c r="I113" i="25"/>
  <c r="N112" i="25"/>
  <c r="M112" i="25"/>
  <c r="K112" i="25"/>
  <c r="J112" i="25"/>
  <c r="I112" i="25"/>
  <c r="N111" i="25"/>
  <c r="M111" i="25"/>
  <c r="K111" i="25"/>
  <c r="J111" i="25"/>
  <c r="I111" i="25"/>
  <c r="N110" i="25"/>
  <c r="M110" i="25"/>
  <c r="K110" i="25"/>
  <c r="J110" i="25"/>
  <c r="I110" i="25"/>
  <c r="N109" i="25"/>
  <c r="M109" i="25"/>
  <c r="K109" i="25"/>
  <c r="J109" i="25"/>
  <c r="I109" i="25"/>
  <c r="N108" i="25"/>
  <c r="M108" i="25"/>
  <c r="K108" i="25"/>
  <c r="J108" i="25"/>
  <c r="I108" i="25"/>
  <c r="N107" i="25"/>
  <c r="M107" i="25"/>
  <c r="K107" i="25"/>
  <c r="J107" i="25"/>
  <c r="I107" i="25"/>
  <c r="N106" i="25"/>
  <c r="M106" i="25"/>
  <c r="K106" i="25"/>
  <c r="J106" i="25"/>
  <c r="I106" i="25"/>
  <c r="N105" i="25"/>
  <c r="M105" i="25"/>
  <c r="K105" i="25"/>
  <c r="J105" i="25"/>
  <c r="I105" i="25"/>
  <c r="N104" i="25"/>
  <c r="M104" i="25"/>
  <c r="K104" i="25"/>
  <c r="J104" i="25"/>
  <c r="I104" i="25"/>
  <c r="N103" i="25"/>
  <c r="M103" i="25"/>
  <c r="K103" i="25"/>
  <c r="J103" i="25"/>
  <c r="I103" i="25"/>
  <c r="N102" i="25"/>
  <c r="M102" i="25"/>
  <c r="K102" i="25"/>
  <c r="J102" i="25"/>
  <c r="I102" i="25"/>
  <c r="N101" i="25"/>
  <c r="M101" i="25"/>
  <c r="K101" i="25"/>
  <c r="J101" i="25"/>
  <c r="I101" i="25"/>
  <c r="N100" i="25"/>
  <c r="M100" i="25"/>
  <c r="K100" i="25"/>
  <c r="J100" i="25"/>
  <c r="I100" i="25"/>
  <c r="N99" i="25"/>
  <c r="M99" i="25"/>
  <c r="K99" i="25"/>
  <c r="J99" i="25"/>
  <c r="I99" i="25"/>
  <c r="N98" i="25"/>
  <c r="M98" i="25"/>
  <c r="K98" i="25"/>
  <c r="J98" i="25"/>
  <c r="I98" i="25"/>
  <c r="N97" i="25"/>
  <c r="M97" i="25"/>
  <c r="K97" i="25"/>
  <c r="J97" i="25"/>
  <c r="I97" i="25"/>
  <c r="N96" i="25"/>
  <c r="M96" i="25"/>
  <c r="K96" i="25"/>
  <c r="J96" i="25"/>
  <c r="I96" i="25"/>
  <c r="N95" i="25"/>
  <c r="M95" i="25"/>
  <c r="K95" i="25"/>
  <c r="J95" i="25"/>
  <c r="I95" i="25"/>
  <c r="N94" i="25"/>
  <c r="M94" i="25"/>
  <c r="K94" i="25"/>
  <c r="J94" i="25"/>
  <c r="I94" i="25"/>
  <c r="N93" i="25"/>
  <c r="M93" i="25"/>
  <c r="K93" i="25"/>
  <c r="J93" i="25"/>
  <c r="I93" i="25"/>
  <c r="N92" i="25"/>
  <c r="M92" i="25"/>
  <c r="K92" i="25"/>
  <c r="J92" i="25"/>
  <c r="I92" i="25"/>
  <c r="N91" i="25"/>
  <c r="M91" i="25"/>
  <c r="K91" i="25"/>
  <c r="J91" i="25"/>
  <c r="I91" i="25"/>
  <c r="N90" i="25"/>
  <c r="M90" i="25"/>
  <c r="K90" i="25"/>
  <c r="J90" i="25"/>
  <c r="I90" i="25"/>
  <c r="N89" i="25"/>
  <c r="M89" i="25"/>
  <c r="K89" i="25"/>
  <c r="J89" i="25"/>
  <c r="I89" i="25"/>
  <c r="N88" i="25"/>
  <c r="M88" i="25"/>
  <c r="K88" i="25"/>
  <c r="J88" i="25"/>
  <c r="I88" i="25"/>
  <c r="N87" i="25"/>
  <c r="M87" i="25"/>
  <c r="K87" i="25"/>
  <c r="J87" i="25"/>
  <c r="L87" i="25" s="1"/>
  <c r="I87" i="25"/>
  <c r="N86" i="25"/>
  <c r="M86" i="25"/>
  <c r="K86" i="25"/>
  <c r="J86" i="25"/>
  <c r="I86" i="25"/>
  <c r="N75" i="25"/>
  <c r="M75" i="25"/>
  <c r="K75" i="25"/>
  <c r="J75" i="25"/>
  <c r="I75" i="25"/>
  <c r="N74" i="25"/>
  <c r="M74" i="25"/>
  <c r="K74" i="25"/>
  <c r="J74" i="25"/>
  <c r="I74" i="25"/>
  <c r="N73" i="25"/>
  <c r="M73" i="25"/>
  <c r="K73" i="25"/>
  <c r="J73" i="25"/>
  <c r="I73" i="25"/>
  <c r="N72" i="25"/>
  <c r="M72" i="25"/>
  <c r="K72" i="25"/>
  <c r="J72" i="25"/>
  <c r="I72" i="25"/>
  <c r="N71" i="25"/>
  <c r="M71" i="25"/>
  <c r="K71" i="25"/>
  <c r="J71" i="25"/>
  <c r="I71" i="25"/>
  <c r="N70" i="25"/>
  <c r="M70" i="25"/>
  <c r="K70" i="25"/>
  <c r="J70" i="25"/>
  <c r="I70" i="25"/>
  <c r="N69" i="25"/>
  <c r="M69" i="25"/>
  <c r="K69" i="25"/>
  <c r="J69" i="25"/>
  <c r="I69" i="25"/>
  <c r="N68" i="25"/>
  <c r="M68" i="25"/>
  <c r="K68" i="25"/>
  <c r="J68" i="25"/>
  <c r="I68" i="25"/>
  <c r="N67" i="25"/>
  <c r="M67" i="25"/>
  <c r="K67" i="25"/>
  <c r="J67" i="25"/>
  <c r="I67" i="25"/>
  <c r="N66" i="25"/>
  <c r="M66" i="25"/>
  <c r="K66" i="25"/>
  <c r="J66" i="25"/>
  <c r="I66" i="25"/>
  <c r="N65" i="25"/>
  <c r="M65" i="25"/>
  <c r="K65" i="25"/>
  <c r="J65" i="25"/>
  <c r="I65" i="25"/>
  <c r="N64" i="25"/>
  <c r="M64" i="25"/>
  <c r="K64" i="25"/>
  <c r="J64" i="25"/>
  <c r="I64" i="25"/>
  <c r="N63" i="25"/>
  <c r="M63" i="25"/>
  <c r="K63" i="25"/>
  <c r="J63" i="25"/>
  <c r="I63" i="25"/>
  <c r="N62" i="25"/>
  <c r="M62" i="25"/>
  <c r="K62" i="25"/>
  <c r="J62" i="25"/>
  <c r="I62" i="25"/>
  <c r="N61" i="25"/>
  <c r="M61" i="25"/>
  <c r="K61" i="25"/>
  <c r="J61" i="25"/>
  <c r="I61" i="25"/>
  <c r="N60" i="25"/>
  <c r="M60" i="25"/>
  <c r="K60" i="25"/>
  <c r="J60" i="25"/>
  <c r="I60" i="25"/>
  <c r="N59" i="25"/>
  <c r="M59" i="25"/>
  <c r="K59" i="25"/>
  <c r="J59" i="25"/>
  <c r="I59" i="25"/>
  <c r="N58" i="25"/>
  <c r="M58" i="25"/>
  <c r="K58" i="25"/>
  <c r="J58" i="25"/>
  <c r="I58" i="25"/>
  <c r="N57" i="25"/>
  <c r="M57" i="25"/>
  <c r="K57" i="25"/>
  <c r="J57" i="25"/>
  <c r="I57" i="25"/>
  <c r="N56" i="25"/>
  <c r="M56" i="25"/>
  <c r="K56" i="25"/>
  <c r="J56" i="25"/>
  <c r="I56" i="25"/>
  <c r="N55" i="25"/>
  <c r="M55" i="25"/>
  <c r="K55" i="25"/>
  <c r="J55" i="25"/>
  <c r="I55" i="25"/>
  <c r="N54" i="25"/>
  <c r="M54" i="25"/>
  <c r="K54" i="25"/>
  <c r="J54" i="25"/>
  <c r="I54" i="25"/>
  <c r="N53" i="25"/>
  <c r="M53" i="25"/>
  <c r="K53" i="25"/>
  <c r="J53" i="25"/>
  <c r="I53" i="25"/>
  <c r="N52" i="25"/>
  <c r="M52" i="25"/>
  <c r="K52" i="25"/>
  <c r="J52" i="25"/>
  <c r="I52" i="25"/>
  <c r="N51" i="25"/>
  <c r="M51" i="25"/>
  <c r="K51" i="25"/>
  <c r="J51" i="25"/>
  <c r="I51" i="25"/>
  <c r="N50" i="25"/>
  <c r="M50" i="25"/>
  <c r="K50" i="25"/>
  <c r="J50" i="25"/>
  <c r="I50" i="25"/>
  <c r="N49" i="25"/>
  <c r="M49" i="25"/>
  <c r="K49" i="25"/>
  <c r="J49" i="25"/>
  <c r="I49" i="25"/>
  <c r="I18" i="25"/>
  <c r="J18" i="25"/>
  <c r="K18" i="25"/>
  <c r="I19" i="25"/>
  <c r="J19" i="25"/>
  <c r="K19" i="25"/>
  <c r="I20" i="25"/>
  <c r="J20" i="25"/>
  <c r="K20" i="25"/>
  <c r="I21" i="25"/>
  <c r="J21" i="25"/>
  <c r="K21" i="25"/>
  <c r="I22" i="25"/>
  <c r="J22" i="25"/>
  <c r="K22" i="25"/>
  <c r="I23" i="25"/>
  <c r="J23" i="25"/>
  <c r="K23" i="25"/>
  <c r="I24" i="25"/>
  <c r="J24" i="25"/>
  <c r="K24" i="25"/>
  <c r="I25" i="25"/>
  <c r="J25" i="25"/>
  <c r="K25" i="25"/>
  <c r="I26" i="25"/>
  <c r="J26" i="25"/>
  <c r="K26" i="25"/>
  <c r="I27" i="25"/>
  <c r="J27" i="25"/>
  <c r="K27" i="25"/>
  <c r="I28" i="25"/>
  <c r="J28" i="25"/>
  <c r="K28" i="25"/>
  <c r="I29" i="25"/>
  <c r="J29" i="25"/>
  <c r="K29" i="25"/>
  <c r="I30" i="25"/>
  <c r="J30" i="25"/>
  <c r="K30" i="25"/>
  <c r="I31" i="25"/>
  <c r="J31" i="25"/>
  <c r="K31" i="25"/>
  <c r="I32" i="25"/>
  <c r="J32" i="25"/>
  <c r="K32" i="25"/>
  <c r="M18" i="25"/>
  <c r="N18" i="25"/>
  <c r="M19" i="25"/>
  <c r="N19" i="25"/>
  <c r="M20" i="25"/>
  <c r="N20" i="25"/>
  <c r="M21" i="25"/>
  <c r="N21" i="25"/>
  <c r="M22" i="25"/>
  <c r="N22" i="25"/>
  <c r="M23" i="25"/>
  <c r="N23" i="25"/>
  <c r="M24" i="25"/>
  <c r="N24" i="25"/>
  <c r="M25" i="25"/>
  <c r="N25" i="25"/>
  <c r="M26" i="25"/>
  <c r="N26" i="25"/>
  <c r="M27" i="25"/>
  <c r="N27" i="25"/>
  <c r="M28" i="25"/>
  <c r="N28" i="25"/>
  <c r="M29" i="25"/>
  <c r="N29" i="25"/>
  <c r="M30" i="25"/>
  <c r="N30" i="25"/>
  <c r="M31" i="25"/>
  <c r="N31" i="25"/>
  <c r="M32" i="25"/>
  <c r="N32" i="25"/>
  <c r="M11" i="29" l="1"/>
  <c r="M39" i="29"/>
  <c r="M35" i="29"/>
  <c r="M31" i="29"/>
  <c r="M27" i="29"/>
  <c r="M23" i="29"/>
  <c r="M19" i="29"/>
  <c r="M15" i="29"/>
  <c r="M38" i="29"/>
  <c r="M34" i="29"/>
  <c r="M30" i="29"/>
  <c r="M26" i="29"/>
  <c r="M22" i="29"/>
  <c r="M18" i="29"/>
  <c r="M14" i="29"/>
  <c r="L135" i="25"/>
  <c r="L139" i="25"/>
  <c r="L143" i="25"/>
  <c r="L147" i="25"/>
  <c r="L151" i="25"/>
  <c r="L164" i="25"/>
  <c r="L168" i="25"/>
  <c r="L172" i="25"/>
  <c r="L176" i="25"/>
  <c r="L180" i="25"/>
  <c r="L184" i="25"/>
  <c r="L188" i="25"/>
  <c r="L204" i="25"/>
  <c r="L208" i="25"/>
  <c r="L212" i="25"/>
  <c r="L216" i="25"/>
  <c r="L220" i="25"/>
  <c r="L224" i="25"/>
  <c r="L228" i="25"/>
  <c r="L242" i="25"/>
  <c r="L246" i="25"/>
  <c r="L250" i="25"/>
  <c r="L254" i="25"/>
  <c r="L258" i="25"/>
  <c r="L262" i="25"/>
  <c r="L266" i="25"/>
  <c r="L270" i="25"/>
  <c r="L284" i="25"/>
  <c r="L288" i="25"/>
  <c r="L292" i="25"/>
  <c r="L296" i="25"/>
  <c r="L300" i="25"/>
  <c r="L304" i="25"/>
  <c r="L308" i="25"/>
  <c r="L320" i="25"/>
  <c r="L324" i="25"/>
  <c r="L328" i="25"/>
  <c r="L332" i="25"/>
  <c r="L336" i="25"/>
  <c r="L340" i="25"/>
  <c r="L344" i="25"/>
  <c r="L361" i="25"/>
  <c r="L365" i="25"/>
  <c r="L369" i="25"/>
  <c r="L373" i="25"/>
  <c r="L377" i="25"/>
  <c r="L381" i="25"/>
  <c r="L385" i="25"/>
  <c r="L30" i="25"/>
  <c r="L26" i="25"/>
  <c r="L91" i="25"/>
  <c r="L95" i="25"/>
  <c r="L99" i="25"/>
  <c r="L103" i="25"/>
  <c r="L107" i="25"/>
  <c r="L111" i="25"/>
  <c r="L114" i="25"/>
  <c r="L56" i="25"/>
  <c r="L60" i="25"/>
  <c r="L64" i="25"/>
  <c r="L68" i="25"/>
  <c r="L72" i="25"/>
  <c r="L31" i="25"/>
  <c r="L27" i="25"/>
  <c r="L23" i="25"/>
  <c r="L55" i="25"/>
  <c r="L59" i="25"/>
  <c r="L63" i="25"/>
  <c r="L67" i="25"/>
  <c r="L71" i="25"/>
  <c r="L90" i="25"/>
  <c r="L94" i="25"/>
  <c r="L98" i="25"/>
  <c r="L102" i="25"/>
  <c r="L106" i="25"/>
  <c r="L110" i="25"/>
  <c r="L136" i="25"/>
  <c r="L140" i="25"/>
  <c r="L144" i="25"/>
  <c r="L148" i="25"/>
  <c r="L152" i="25"/>
  <c r="L165" i="25"/>
  <c r="L169" i="25"/>
  <c r="L173" i="25"/>
  <c r="L177" i="25"/>
  <c r="L181" i="25"/>
  <c r="L185" i="25"/>
  <c r="L189" i="25"/>
  <c r="L192" i="25"/>
  <c r="L205" i="25"/>
  <c r="L209" i="25"/>
  <c r="L213" i="25"/>
  <c r="L217" i="25"/>
  <c r="L221" i="25"/>
  <c r="L225" i="25"/>
  <c r="L229" i="25"/>
  <c r="L243" i="25"/>
  <c r="L247" i="25"/>
  <c r="L251" i="25"/>
  <c r="L255" i="25"/>
  <c r="L259" i="25"/>
  <c r="L263" i="25"/>
  <c r="L267" i="25"/>
  <c r="L271" i="25"/>
  <c r="L285" i="25"/>
  <c r="L289" i="25"/>
  <c r="L293" i="25"/>
  <c r="L297" i="25"/>
  <c r="L301" i="25"/>
  <c r="L305" i="25"/>
  <c r="L309" i="25"/>
  <c r="L321" i="25"/>
  <c r="L325" i="25"/>
  <c r="L329" i="25"/>
  <c r="L333" i="25"/>
  <c r="L337" i="25"/>
  <c r="L341" i="25"/>
  <c r="L345" i="25"/>
  <c r="L348" i="25"/>
  <c r="L362" i="25"/>
  <c r="L366" i="25"/>
  <c r="L370" i="25"/>
  <c r="L374" i="25"/>
  <c r="L378" i="25"/>
  <c r="L382" i="25"/>
  <c r="L386" i="25"/>
  <c r="L127" i="25"/>
  <c r="L131" i="25"/>
  <c r="L128" i="25"/>
  <c r="L132" i="25"/>
  <c r="L51" i="25"/>
  <c r="L52" i="25"/>
  <c r="L86" i="25"/>
  <c r="L18" i="25"/>
  <c r="L22" i="25"/>
  <c r="L19" i="25"/>
  <c r="L24" i="25"/>
  <c r="L32" i="25"/>
  <c r="L29" i="25"/>
  <c r="L25" i="25"/>
  <c r="L21" i="25"/>
  <c r="L49" i="25"/>
  <c r="L53" i="25"/>
  <c r="L57" i="25"/>
  <c r="L61" i="25"/>
  <c r="L65" i="25"/>
  <c r="L69" i="25"/>
  <c r="L73" i="25"/>
  <c r="L74" i="25"/>
  <c r="L88" i="25"/>
  <c r="L92" i="25"/>
  <c r="L96" i="25"/>
  <c r="L100" i="25"/>
  <c r="L104" i="25"/>
  <c r="L108" i="25"/>
  <c r="L112" i="25"/>
  <c r="L125" i="25"/>
  <c r="L129" i="25"/>
  <c r="L133" i="25"/>
  <c r="L137" i="25"/>
  <c r="L141" i="25"/>
  <c r="L145" i="25"/>
  <c r="L149" i="25"/>
  <c r="L166" i="25"/>
  <c r="L170" i="25"/>
  <c r="L174" i="25"/>
  <c r="L178" i="25"/>
  <c r="L182" i="25"/>
  <c r="L186" i="25"/>
  <c r="L190" i="25"/>
  <c r="L202" i="25"/>
  <c r="L206" i="25"/>
  <c r="L210" i="25"/>
  <c r="L214" i="25"/>
  <c r="L218" i="25"/>
  <c r="L222" i="25"/>
  <c r="L226" i="25"/>
  <c r="L230" i="25"/>
  <c r="L244" i="25"/>
  <c r="L248" i="25"/>
  <c r="L252" i="25"/>
  <c r="L256" i="25"/>
  <c r="L260" i="25"/>
  <c r="L264" i="25"/>
  <c r="L268" i="25"/>
  <c r="L282" i="25"/>
  <c r="L286" i="25"/>
  <c r="L290" i="25"/>
  <c r="L294" i="25"/>
  <c r="L298" i="25"/>
  <c r="L302" i="25"/>
  <c r="L306" i="25"/>
  <c r="L322" i="25"/>
  <c r="L326" i="25"/>
  <c r="L330" i="25"/>
  <c r="L334" i="25"/>
  <c r="L338" i="25"/>
  <c r="L342" i="25"/>
  <c r="L346" i="25"/>
  <c r="L359" i="25"/>
  <c r="L363" i="25"/>
  <c r="L367" i="25"/>
  <c r="L371" i="25"/>
  <c r="L375" i="25"/>
  <c r="L379" i="25"/>
  <c r="L383" i="25"/>
  <c r="L387" i="25"/>
  <c r="L28" i="25"/>
  <c r="L20" i="25"/>
  <c r="L50" i="25"/>
  <c r="L54" i="25"/>
  <c r="L58" i="25"/>
  <c r="L62" i="25"/>
  <c r="L66" i="25"/>
  <c r="L70" i="25"/>
  <c r="L75" i="25"/>
  <c r="L89" i="25"/>
  <c r="L93" i="25"/>
  <c r="L97" i="25"/>
  <c r="L101" i="25"/>
  <c r="L105" i="25"/>
  <c r="L109" i="25"/>
  <c r="L113" i="25"/>
  <c r="L126" i="25"/>
  <c r="L130" i="25"/>
  <c r="L134" i="25"/>
  <c r="L138" i="25"/>
  <c r="L142" i="25"/>
  <c r="L146" i="25"/>
  <c r="L150" i="25"/>
  <c r="L153" i="25"/>
  <c r="L167" i="25"/>
  <c r="L171" i="25"/>
  <c r="L175" i="25"/>
  <c r="L179" i="25"/>
  <c r="L183" i="25"/>
  <c r="L187" i="25"/>
  <c r="L191" i="25"/>
  <c r="L203" i="25"/>
  <c r="L207" i="25"/>
  <c r="L211" i="25"/>
  <c r="L215" i="25"/>
  <c r="L219" i="25"/>
  <c r="L223" i="25"/>
  <c r="L227" i="25"/>
  <c r="L231" i="25"/>
  <c r="L245" i="25"/>
  <c r="L249" i="25"/>
  <c r="L253" i="25"/>
  <c r="L257" i="25"/>
  <c r="L261" i="25"/>
  <c r="L265" i="25"/>
  <c r="L269" i="25"/>
  <c r="L283" i="25"/>
  <c r="L287" i="25"/>
  <c r="L291" i="25"/>
  <c r="L295" i="25"/>
  <c r="L299" i="25"/>
  <c r="L303" i="25"/>
  <c r="L307" i="25"/>
  <c r="L323" i="25"/>
  <c r="L327" i="25"/>
  <c r="L331" i="25"/>
  <c r="L335" i="25"/>
  <c r="L339" i="25"/>
  <c r="L343" i="25"/>
  <c r="L347" i="25"/>
  <c r="L360" i="25"/>
  <c r="L364" i="25"/>
  <c r="L368" i="25"/>
  <c r="L372" i="25"/>
  <c r="L376" i="25"/>
  <c r="L380" i="25"/>
  <c r="L384" i="25"/>
  <c r="L388" i="25"/>
  <c r="M12" i="29"/>
  <c r="A2" i="24"/>
  <c r="C8" i="27" l="1"/>
  <c r="B8" i="27"/>
  <c r="S91" i="7" l="1"/>
  <c r="S132" i="7"/>
  <c r="S173" i="7"/>
  <c r="S214" i="7"/>
  <c r="S255" i="7"/>
  <c r="S296" i="7"/>
  <c r="S337" i="7"/>
  <c r="S378" i="7"/>
  <c r="S419" i="7"/>
  <c r="B5" i="19" l="1"/>
  <c r="B3" i="19"/>
  <c r="A5" i="7"/>
  <c r="A5" i="27"/>
  <c r="A3" i="27"/>
  <c r="G419" i="7" l="1"/>
  <c r="F419" i="7"/>
  <c r="I414" i="7"/>
  <c r="J414" i="7" s="1"/>
  <c r="I413" i="7"/>
  <c r="J413" i="7" s="1"/>
  <c r="G378" i="7"/>
  <c r="F378" i="7"/>
  <c r="I373" i="7"/>
  <c r="J373" i="7" s="1"/>
  <c r="I372" i="7"/>
  <c r="J372" i="7" s="1"/>
  <c r="G337" i="7"/>
  <c r="F337" i="7"/>
  <c r="I332" i="7"/>
  <c r="J332" i="7" s="1"/>
  <c r="I331" i="7"/>
  <c r="J331" i="7" s="1"/>
  <c r="G296" i="7"/>
  <c r="F296" i="7"/>
  <c r="I291" i="7"/>
  <c r="J291" i="7" s="1"/>
  <c r="I290" i="7"/>
  <c r="J290" i="7" s="1"/>
  <c r="G255" i="7"/>
  <c r="F255" i="7"/>
  <c r="I250" i="7"/>
  <c r="J250" i="7" s="1"/>
  <c r="I249" i="7"/>
  <c r="J249" i="7" s="1"/>
  <c r="G214" i="7"/>
  <c r="F214" i="7"/>
  <c r="G173" i="7"/>
  <c r="F173" i="7"/>
  <c r="I168" i="7"/>
  <c r="J168" i="7" s="1"/>
  <c r="I167" i="7"/>
  <c r="J167" i="7" s="1"/>
  <c r="G132" i="7"/>
  <c r="F132" i="7"/>
  <c r="I127" i="7"/>
  <c r="J127" i="7" s="1"/>
  <c r="I126" i="7"/>
  <c r="J126" i="7" s="1"/>
  <c r="G91" i="7"/>
  <c r="F91" i="7"/>
  <c r="I86" i="7"/>
  <c r="J86" i="7" s="1"/>
  <c r="D86" i="7"/>
  <c r="I85" i="7"/>
  <c r="J85" i="7" s="1"/>
  <c r="D85" i="7"/>
  <c r="D84" i="7"/>
  <c r="A52" i="7"/>
  <c r="H42" i="29"/>
  <c r="G42" i="29"/>
  <c r="F42" i="29"/>
  <c r="L42" i="29"/>
  <c r="K42" i="29"/>
  <c r="J42" i="29"/>
  <c r="B5" i="29"/>
  <c r="B3" i="29"/>
  <c r="H34" i="27"/>
  <c r="H15" i="27"/>
  <c r="H16" i="27"/>
  <c r="H17" i="27"/>
  <c r="H18" i="27"/>
  <c r="H19" i="27"/>
  <c r="H20" i="27"/>
  <c r="H21" i="27"/>
  <c r="H22" i="27"/>
  <c r="H23" i="27"/>
  <c r="H24" i="27"/>
  <c r="H25" i="27"/>
  <c r="H26" i="27"/>
  <c r="H27" i="27"/>
  <c r="H28" i="27"/>
  <c r="H29" i="27"/>
  <c r="H30" i="27"/>
  <c r="H31" i="27"/>
  <c r="H32" i="27"/>
  <c r="H33" i="27"/>
  <c r="H14" i="27"/>
  <c r="D35" i="27"/>
  <c r="E35" i="27"/>
  <c r="F35" i="27"/>
  <c r="G35" i="27"/>
  <c r="C35" i="27"/>
  <c r="K79" i="24"/>
  <c r="K78" i="24"/>
  <c r="K77" i="24"/>
  <c r="K76" i="24"/>
  <c r="K75" i="24"/>
  <c r="K74" i="24"/>
  <c r="K73" i="24"/>
  <c r="K72" i="24"/>
  <c r="H79" i="7" l="1" a="1"/>
  <c r="H79" i="7" s="1"/>
  <c r="E84" i="7" a="1"/>
  <c r="E84" i="7" s="1"/>
  <c r="H84" i="7" s="1" a="1"/>
  <c r="H84" i="7" s="1"/>
  <c r="I84" i="7" s="1"/>
  <c r="J84" i="7" s="1"/>
  <c r="N42" i="29"/>
  <c r="E59" i="7" a="1"/>
  <c r="E59" i="7" s="1"/>
  <c r="H59" i="7" s="1" a="1"/>
  <c r="H59" i="7" s="1"/>
  <c r="E65" i="7" a="1"/>
  <c r="E65" i="7" s="1"/>
  <c r="H65" i="7" s="1" a="1"/>
  <c r="H65" i="7" s="1"/>
  <c r="E69" i="7" a="1"/>
  <c r="E69" i="7" s="1"/>
  <c r="H69" i="7" s="1" a="1"/>
  <c r="H69" i="7" s="1"/>
  <c r="E74" i="7" a="1"/>
  <c r="E74" i="7" s="1"/>
  <c r="H74" i="7" s="1" a="1"/>
  <c r="H74" i="7" s="1"/>
  <c r="H80" i="7" a="1"/>
  <c r="H80" i="7" s="1"/>
  <c r="E61" i="7" a="1"/>
  <c r="E61" i="7" s="1"/>
  <c r="H61" i="7" s="1" a="1"/>
  <c r="H61" i="7" s="1"/>
  <c r="E66" i="7" a="1"/>
  <c r="E66" i="7" s="1"/>
  <c r="H66" i="7" s="1" a="1"/>
  <c r="H66" i="7" s="1"/>
  <c r="E70" i="7" a="1"/>
  <c r="E70" i="7" s="1"/>
  <c r="H70" i="7" s="1" a="1"/>
  <c r="H70" i="7" s="1"/>
  <c r="E76" i="7" a="1"/>
  <c r="E76" i="7" s="1"/>
  <c r="E62" i="7" a="1"/>
  <c r="E62" i="7" s="1"/>
  <c r="H62" i="7" s="1" a="1"/>
  <c r="H62" i="7" s="1"/>
  <c r="E72" i="7" a="1"/>
  <c r="E72" i="7" s="1"/>
  <c r="H72" i="7" s="1" a="1"/>
  <c r="H72" i="7" s="1"/>
  <c r="E77" i="7" a="1"/>
  <c r="E77" i="7" s="1"/>
  <c r="H77" i="7" s="1" a="1"/>
  <c r="H77" i="7" s="1"/>
  <c r="E58" i="7" a="1"/>
  <c r="E58" i="7" s="1"/>
  <c r="H58" i="7" s="1" a="1"/>
  <c r="H58" i="7" s="1"/>
  <c r="E63" i="7" a="1"/>
  <c r="E63" i="7" s="1"/>
  <c r="H63" i="7" s="1" a="1"/>
  <c r="H63" i="7" s="1"/>
  <c r="E68" i="7" a="1"/>
  <c r="E68" i="7" s="1"/>
  <c r="H68" i="7" s="1" a="1"/>
  <c r="H68" i="7" s="1"/>
  <c r="E73" i="7" a="1"/>
  <c r="E73" i="7" s="1"/>
  <c r="H73" i="7" s="1" a="1"/>
  <c r="H73" i="7" s="1"/>
  <c r="E78" i="7" a="1"/>
  <c r="E78" i="7" s="1"/>
  <c r="H78" i="7" s="1" a="1"/>
  <c r="H78" i="7" s="1"/>
  <c r="E60" i="7" a="1"/>
  <c r="E60" i="7" s="1"/>
  <c r="H60" i="7" s="1" a="1"/>
  <c r="H60" i="7" s="1"/>
  <c r="E64" i="7" a="1"/>
  <c r="E64" i="7" s="1"/>
  <c r="H64" i="7" s="1" a="1"/>
  <c r="H64" i="7" s="1"/>
  <c r="E67" i="7" a="1"/>
  <c r="E67" i="7" s="1"/>
  <c r="H67" i="7" s="1" a="1"/>
  <c r="H67" i="7" s="1"/>
  <c r="E71" i="7" a="1"/>
  <c r="E71" i="7" s="1"/>
  <c r="H71" i="7" s="1" a="1"/>
  <c r="H71" i="7" s="1"/>
  <c r="E75" i="7" a="1"/>
  <c r="E75" i="7" s="1"/>
  <c r="O42" i="29"/>
  <c r="M42" i="29"/>
  <c r="H35" i="27"/>
  <c r="B5" i="25"/>
  <c r="B3" i="25"/>
  <c r="A3" i="7"/>
  <c r="B43" i="22"/>
  <c r="C43" i="22"/>
  <c r="C39" i="19" s="1"/>
  <c r="D43" i="22"/>
  <c r="D39" i="19" s="1"/>
  <c r="E43" i="22"/>
  <c r="E39" i="19" s="1"/>
  <c r="F43" i="22"/>
  <c r="B44" i="22"/>
  <c r="C44" i="22"/>
  <c r="C40" i="19" s="1"/>
  <c r="D44" i="22"/>
  <c r="D40" i="19" s="1"/>
  <c r="E44" i="22"/>
  <c r="E40" i="19" s="1"/>
  <c r="F44" i="22"/>
  <c r="B45" i="22"/>
  <c r="C45" i="22"/>
  <c r="C41" i="19" s="1"/>
  <c r="D45" i="22"/>
  <c r="D41" i="19" s="1"/>
  <c r="E45" i="22"/>
  <c r="E41" i="19" s="1"/>
  <c r="F45" i="22"/>
  <c r="F42" i="22"/>
  <c r="E42" i="22"/>
  <c r="D42" i="22"/>
  <c r="C42" i="22"/>
  <c r="C38" i="19" s="1"/>
  <c r="B42" i="22"/>
  <c r="I390" i="25"/>
  <c r="I350" i="25"/>
  <c r="I311" i="25"/>
  <c r="I273" i="25"/>
  <c r="I233" i="25"/>
  <c r="I194" i="25"/>
  <c r="B176" i="7" s="1"/>
  <c r="G50" i="7"/>
  <c r="F39" i="19" l="1"/>
  <c r="H39" i="19"/>
  <c r="J39" i="19" s="1"/>
  <c r="M39" i="19" s="1"/>
  <c r="G39" i="19"/>
  <c r="G41" i="19"/>
  <c r="H41" i="19"/>
  <c r="J41" i="19" s="1"/>
  <c r="M41" i="19" s="1"/>
  <c r="F41" i="19"/>
  <c r="F40" i="19"/>
  <c r="H40" i="19"/>
  <c r="J40" i="19" s="1"/>
  <c r="M40" i="19" s="1"/>
  <c r="G40" i="19"/>
  <c r="D76" i="7" a="1"/>
  <c r="D76" i="7" s="1"/>
  <c r="H76" i="7" a="1"/>
  <c r="H76" i="7" s="1"/>
  <c r="D75" i="7" a="1"/>
  <c r="D75" i="7" s="1"/>
  <c r="H75" i="7" a="1"/>
  <c r="H75" i="7" s="1"/>
  <c r="A380" i="7"/>
  <c r="E412" i="7" s="1" a="1"/>
  <c r="E412" i="7" s="1"/>
  <c r="A339" i="7"/>
  <c r="E371" i="7" s="1" a="1"/>
  <c r="E371" i="7" s="1"/>
  <c r="A298" i="7"/>
  <c r="E330" i="7" s="1" a="1"/>
  <c r="E330" i="7" s="1"/>
  <c r="A257" i="7"/>
  <c r="E289" i="7" s="1" a="1"/>
  <c r="E289" i="7" s="1"/>
  <c r="A216" i="7"/>
  <c r="E248" i="7" s="1" a="1"/>
  <c r="E248" i="7" s="1"/>
  <c r="A175" i="7"/>
  <c r="E207" i="7" s="1" a="1"/>
  <c r="E207" i="7" s="1"/>
  <c r="H207" i="7" s="1" a="1"/>
  <c r="H207" i="7" s="1"/>
  <c r="A134" i="7"/>
  <c r="E166" i="7" s="1" a="1"/>
  <c r="E166" i="7" s="1"/>
  <c r="A93" i="7"/>
  <c r="E125" i="7" s="1" a="1"/>
  <c r="E125" i="7" s="1"/>
  <c r="A11" i="7"/>
  <c r="H412" i="7" l="1" a="1"/>
  <c r="H412" i="7" s="1"/>
  <c r="D412" i="7" a="1"/>
  <c r="D412" i="7" s="1"/>
  <c r="H371" i="7" a="1"/>
  <c r="H371" i="7" s="1"/>
  <c r="D371" i="7" a="1"/>
  <c r="D371" i="7" s="1"/>
  <c r="H330" i="7" a="1"/>
  <c r="H330" i="7" s="1"/>
  <c r="D330" i="7" a="1"/>
  <c r="D330" i="7" s="1"/>
  <c r="H289" i="7" a="1"/>
  <c r="H289" i="7" s="1"/>
  <c r="D289" i="7" a="1"/>
  <c r="D289" i="7" s="1"/>
  <c r="H248" i="7" a="1"/>
  <c r="H248" i="7" s="1"/>
  <c r="D248" i="7" a="1"/>
  <c r="D248" i="7" s="1"/>
  <c r="H166" i="7" a="1"/>
  <c r="H166" i="7" s="1"/>
  <c r="D166" i="7" a="1"/>
  <c r="D166" i="7" s="1"/>
  <c r="H125" i="7" a="1"/>
  <c r="H125" i="7" s="1"/>
  <c r="D125" i="7" a="1"/>
  <c r="D125" i="7" s="1"/>
  <c r="E43" i="7" a="1"/>
  <c r="E43" i="7" s="1"/>
  <c r="H43" i="7" s="1" a="1"/>
  <c r="H43" i="7" s="1"/>
  <c r="H208" i="7" a="1"/>
  <c r="H208" i="7" s="1"/>
  <c r="H209" i="7" a="1"/>
  <c r="H209" i="7" s="1"/>
  <c r="S8" i="7"/>
  <c r="G8" i="7"/>
  <c r="H120" i="7" a="1"/>
  <c r="H120" i="7" s="1"/>
  <c r="E117" i="7" a="1"/>
  <c r="E117" i="7" s="1"/>
  <c r="H117" i="7" s="1" a="1"/>
  <c r="H117" i="7" s="1"/>
  <c r="E112" i="7" a="1"/>
  <c r="E112" i="7" s="1"/>
  <c r="H112" i="7" s="1" a="1"/>
  <c r="H112" i="7" s="1"/>
  <c r="E109" i="7" a="1"/>
  <c r="E109" i="7" s="1"/>
  <c r="H109" i="7" s="1" a="1"/>
  <c r="H109" i="7" s="1"/>
  <c r="E105" i="7" a="1"/>
  <c r="E105" i="7" s="1"/>
  <c r="H105" i="7" s="1" a="1"/>
  <c r="H105" i="7" s="1"/>
  <c r="E102" i="7" a="1"/>
  <c r="E102" i="7" s="1"/>
  <c r="H102" i="7" s="1" a="1"/>
  <c r="H102" i="7" s="1"/>
  <c r="E99" i="7" a="1"/>
  <c r="E99" i="7" s="1"/>
  <c r="H99" i="7" s="1" a="1"/>
  <c r="H99" i="7" s="1"/>
  <c r="H121" i="7" a="1"/>
  <c r="H121" i="7" s="1"/>
  <c r="E118" i="7" a="1"/>
  <c r="E118" i="7" s="1"/>
  <c r="H118" i="7" s="1" a="1"/>
  <c r="H118" i="7" s="1"/>
  <c r="E114" i="7" a="1"/>
  <c r="E114" i="7" s="1"/>
  <c r="H114" i="7" s="1" a="1"/>
  <c r="H114" i="7" s="1"/>
  <c r="E104" i="7" a="1"/>
  <c r="E104" i="7" s="1"/>
  <c r="H104" i="7" s="1" a="1"/>
  <c r="H104" i="7" s="1"/>
  <c r="E101" i="7" a="1"/>
  <c r="E101" i="7" s="1"/>
  <c r="H101" i="7" s="1" a="1"/>
  <c r="H101" i="7" s="1"/>
  <c r="E116" i="7" a="1"/>
  <c r="E116" i="7" s="1"/>
  <c r="H116" i="7" s="1" a="1"/>
  <c r="H116" i="7" s="1"/>
  <c r="E111" i="7" a="1"/>
  <c r="E111" i="7" s="1"/>
  <c r="H111" i="7" s="1" a="1"/>
  <c r="H111" i="7" s="1"/>
  <c r="E107" i="7" a="1"/>
  <c r="E107" i="7" s="1"/>
  <c r="H107" i="7" s="1" a="1"/>
  <c r="H107" i="7" s="1"/>
  <c r="E103" i="7" a="1"/>
  <c r="E103" i="7" s="1"/>
  <c r="H103" i="7" s="1" a="1"/>
  <c r="H103" i="7" s="1"/>
  <c r="E119" i="7" a="1"/>
  <c r="E119" i="7" s="1"/>
  <c r="H119" i="7" s="1" a="1"/>
  <c r="H119" i="7" s="1"/>
  <c r="E115" i="7" a="1"/>
  <c r="E115" i="7" s="1"/>
  <c r="H115" i="7" s="1" a="1"/>
  <c r="H115" i="7" s="1"/>
  <c r="E110" i="7" a="1"/>
  <c r="E110" i="7" s="1"/>
  <c r="H110" i="7" s="1" a="1"/>
  <c r="H110" i="7" s="1"/>
  <c r="E106" i="7" a="1"/>
  <c r="E106" i="7" s="1"/>
  <c r="H106" i="7" s="1" a="1"/>
  <c r="H106" i="7" s="1"/>
  <c r="E113" i="7" a="1"/>
  <c r="E113" i="7" s="1"/>
  <c r="H113" i="7" s="1" a="1"/>
  <c r="H113" i="7" s="1"/>
  <c r="E100" i="7" a="1"/>
  <c r="E100" i="7" s="1"/>
  <c r="H100" i="7" s="1" a="1"/>
  <c r="H100" i="7" s="1"/>
  <c r="E108" i="7" a="1"/>
  <c r="E108" i="7" s="1"/>
  <c r="H108" i="7" s="1" a="1"/>
  <c r="H108" i="7" s="1"/>
  <c r="E282" i="7" a="1"/>
  <c r="E282" i="7" s="1"/>
  <c r="H282" i="7" s="1" a="1"/>
  <c r="H282" i="7" s="1"/>
  <c r="E278" i="7" a="1"/>
  <c r="E278" i="7" s="1"/>
  <c r="H278" i="7" s="1" a="1"/>
  <c r="H278" i="7" s="1"/>
  <c r="E274" i="7" a="1"/>
  <c r="E274" i="7" s="1"/>
  <c r="H274" i="7" s="1" a="1"/>
  <c r="H274" i="7" s="1"/>
  <c r="E271" i="7" a="1"/>
  <c r="E271" i="7" s="1"/>
  <c r="H271" i="7" s="1" a="1"/>
  <c r="H271" i="7" s="1"/>
  <c r="E267" i="7" a="1"/>
  <c r="E267" i="7" s="1"/>
  <c r="H267" i="7" s="1" a="1"/>
  <c r="H267" i="7" s="1"/>
  <c r="E263" i="7" a="1"/>
  <c r="E263" i="7" s="1"/>
  <c r="H263" i="7" s="1" a="1"/>
  <c r="H263" i="7" s="1"/>
  <c r="H284" i="7" a="1"/>
  <c r="H284" i="7" s="1"/>
  <c r="E279" i="7" a="1"/>
  <c r="E279" i="7" s="1"/>
  <c r="H279" i="7" s="1" a="1"/>
  <c r="H279" i="7" s="1"/>
  <c r="E273" i="7" a="1"/>
  <c r="E273" i="7" s="1"/>
  <c r="H273" i="7" s="1" a="1"/>
  <c r="H273" i="7" s="1"/>
  <c r="E269" i="7" a="1"/>
  <c r="E269" i="7" s="1"/>
  <c r="H269" i="7" s="1" a="1"/>
  <c r="H269" i="7" s="1"/>
  <c r="E264" i="7" a="1"/>
  <c r="E264" i="7" s="1"/>
  <c r="H264" i="7" s="1" a="1"/>
  <c r="H264" i="7" s="1"/>
  <c r="E281" i="7" a="1"/>
  <c r="E281" i="7" s="1"/>
  <c r="H281" i="7" s="1" a="1"/>
  <c r="H281" i="7" s="1"/>
  <c r="E275" i="7" a="1"/>
  <c r="E275" i="7" s="1"/>
  <c r="H275" i="7" s="1" a="1"/>
  <c r="H275" i="7" s="1"/>
  <c r="E268" i="7" a="1"/>
  <c r="E268" i="7" s="1"/>
  <c r="H268" i="7" s="1" a="1"/>
  <c r="H268" i="7" s="1"/>
  <c r="E280" i="7" a="1"/>
  <c r="E280" i="7" s="1"/>
  <c r="H280" i="7" s="1" a="1"/>
  <c r="H280" i="7" s="1"/>
  <c r="E272" i="7" a="1"/>
  <c r="E272" i="7" s="1"/>
  <c r="H272" i="7" s="1" a="1"/>
  <c r="H272" i="7" s="1"/>
  <c r="E266" i="7" a="1"/>
  <c r="E266" i="7" s="1"/>
  <c r="H266" i="7" s="1" a="1"/>
  <c r="H266" i="7" s="1"/>
  <c r="H285" i="7" a="1"/>
  <c r="H285" i="7" s="1"/>
  <c r="E277" i="7" a="1"/>
  <c r="E277" i="7" s="1"/>
  <c r="H277" i="7" s="1" a="1"/>
  <c r="H277" i="7" s="1"/>
  <c r="E265" i="7" a="1"/>
  <c r="E265" i="7" s="1"/>
  <c r="H265" i="7" s="1" a="1"/>
  <c r="H265" i="7" s="1"/>
  <c r="E283" i="7" a="1"/>
  <c r="E283" i="7" s="1"/>
  <c r="H283" i="7" s="1" a="1"/>
  <c r="H283" i="7" s="1"/>
  <c r="E276" i="7" a="1"/>
  <c r="E276" i="7" s="1"/>
  <c r="H276" i="7" s="1" a="1"/>
  <c r="H276" i="7" s="1"/>
  <c r="E270" i="7" a="1"/>
  <c r="E270" i="7" s="1"/>
  <c r="H270" i="7" s="1" a="1"/>
  <c r="H270" i="7" s="1"/>
  <c r="E160" i="7" a="1"/>
  <c r="E160" i="7" s="1"/>
  <c r="H160" i="7" s="1" a="1"/>
  <c r="H160" i="7" s="1"/>
  <c r="H161" i="7" a="1"/>
  <c r="H161" i="7" s="1"/>
  <c r="E156" i="7" a="1"/>
  <c r="E156" i="7" s="1"/>
  <c r="H156" i="7" s="1" a="1"/>
  <c r="H156" i="7" s="1"/>
  <c r="E152" i="7" a="1"/>
  <c r="E152" i="7" s="1"/>
  <c r="H152" i="7" s="1" a="1"/>
  <c r="H152" i="7" s="1"/>
  <c r="E145" i="7" a="1"/>
  <c r="E145" i="7" s="1"/>
  <c r="H145" i="7" s="1" a="1"/>
  <c r="H145" i="7" s="1"/>
  <c r="E141" i="7" a="1"/>
  <c r="E141" i="7" s="1"/>
  <c r="H141" i="7" s="1" a="1"/>
  <c r="H141" i="7" s="1"/>
  <c r="H162" i="7" a="1"/>
  <c r="H162" i="7" s="1"/>
  <c r="E155" i="7" a="1"/>
  <c r="E155" i="7" s="1"/>
  <c r="H155" i="7" s="1" a="1"/>
  <c r="H155" i="7" s="1"/>
  <c r="E150" i="7" a="1"/>
  <c r="E150" i="7" s="1"/>
  <c r="H150" i="7" s="1" a="1"/>
  <c r="H150" i="7" s="1"/>
  <c r="E146" i="7" a="1"/>
  <c r="E146" i="7" s="1"/>
  <c r="H146" i="7" s="1" a="1"/>
  <c r="H146" i="7" s="1"/>
  <c r="E140" i="7" a="1"/>
  <c r="E140" i="7" s="1"/>
  <c r="H140" i="7" s="1" a="1"/>
  <c r="H140" i="7" s="1"/>
  <c r="E159" i="7" a="1"/>
  <c r="E159" i="7" s="1"/>
  <c r="H159" i="7" s="1" a="1"/>
  <c r="H159" i="7" s="1"/>
  <c r="E154" i="7" a="1"/>
  <c r="E154" i="7" s="1"/>
  <c r="H154" i="7" s="1" a="1"/>
  <c r="H154" i="7" s="1"/>
  <c r="E149" i="7" a="1"/>
  <c r="E149" i="7" s="1"/>
  <c r="H149" i="7" s="1" a="1"/>
  <c r="H149" i="7" s="1"/>
  <c r="E144" i="7" a="1"/>
  <c r="E144" i="7" s="1"/>
  <c r="H144" i="7" s="1" a="1"/>
  <c r="H144" i="7" s="1"/>
  <c r="E158" i="7" a="1"/>
  <c r="E158" i="7" s="1"/>
  <c r="H158" i="7" s="1" a="1"/>
  <c r="H158" i="7" s="1"/>
  <c r="E153" i="7" a="1"/>
  <c r="E153" i="7" s="1"/>
  <c r="H153" i="7" s="1" a="1"/>
  <c r="H153" i="7" s="1"/>
  <c r="E148" i="7" a="1"/>
  <c r="E148" i="7" s="1"/>
  <c r="H148" i="7" s="1" a="1"/>
  <c r="H148" i="7" s="1"/>
  <c r="E143" i="7" a="1"/>
  <c r="E143" i="7" s="1"/>
  <c r="H143" i="7" s="1" a="1"/>
  <c r="H143" i="7" s="1"/>
  <c r="E157" i="7" a="1"/>
  <c r="E157" i="7" s="1"/>
  <c r="H157" i="7" s="1" a="1"/>
  <c r="H157" i="7" s="1"/>
  <c r="E151" i="7" a="1"/>
  <c r="E151" i="7" s="1"/>
  <c r="H151" i="7" s="1" a="1"/>
  <c r="H151" i="7" s="1"/>
  <c r="E147" i="7" a="1"/>
  <c r="E147" i="7" s="1"/>
  <c r="H147" i="7" s="1" a="1"/>
  <c r="H147" i="7" s="1"/>
  <c r="E142" i="7" a="1"/>
  <c r="E142" i="7" s="1"/>
  <c r="H142" i="7" s="1" a="1"/>
  <c r="H142" i="7" s="1"/>
  <c r="E323" i="7" a="1"/>
  <c r="E323" i="7" s="1"/>
  <c r="H323" i="7" s="1" a="1"/>
  <c r="H323" i="7" s="1"/>
  <c r="E319" i="7" a="1"/>
  <c r="E319" i="7" s="1"/>
  <c r="H319" i="7" s="1" a="1"/>
  <c r="H319" i="7" s="1"/>
  <c r="E315" i="7" a="1"/>
  <c r="E315" i="7" s="1"/>
  <c r="H315" i="7" s="1" a="1"/>
  <c r="H315" i="7" s="1"/>
  <c r="E312" i="7" a="1"/>
  <c r="E312" i="7" s="1"/>
  <c r="H312" i="7" s="1" a="1"/>
  <c r="H312" i="7" s="1"/>
  <c r="E308" i="7" a="1"/>
  <c r="E308" i="7" s="1"/>
  <c r="H308" i="7" s="1" a="1"/>
  <c r="H308" i="7" s="1"/>
  <c r="E304" i="7" a="1"/>
  <c r="E304" i="7" s="1"/>
  <c r="H304" i="7" s="1" a="1"/>
  <c r="H304" i="7" s="1"/>
  <c r="E324" i="7" a="1"/>
  <c r="E324" i="7" s="1"/>
  <c r="H324" i="7" s="1" a="1"/>
  <c r="H324" i="7" s="1"/>
  <c r="E318" i="7" a="1"/>
  <c r="E318" i="7" s="1"/>
  <c r="H318" i="7" s="1" a="1"/>
  <c r="H318" i="7" s="1"/>
  <c r="E313" i="7" a="1"/>
  <c r="E313" i="7" s="1"/>
  <c r="H313" i="7" s="1" a="1"/>
  <c r="H313" i="7" s="1"/>
  <c r="E309" i="7" a="1"/>
  <c r="E309" i="7" s="1"/>
  <c r="H309" i="7" s="1" a="1"/>
  <c r="H309" i="7" s="1"/>
  <c r="E322" i="7" a="1"/>
  <c r="E322" i="7" s="1"/>
  <c r="H322" i="7" s="1" a="1"/>
  <c r="H322" i="7" s="1"/>
  <c r="E316" i="7" a="1"/>
  <c r="E316" i="7" s="1"/>
  <c r="H316" i="7" s="1" a="1"/>
  <c r="H316" i="7" s="1"/>
  <c r="E310" i="7" a="1"/>
  <c r="E310" i="7" s="1"/>
  <c r="H310" i="7" s="1" a="1"/>
  <c r="H310" i="7" s="1"/>
  <c r="E321" i="7" a="1"/>
  <c r="E321" i="7" s="1"/>
  <c r="H321" i="7" s="1" a="1"/>
  <c r="H321" i="7" s="1"/>
  <c r="E314" i="7" a="1"/>
  <c r="E314" i="7" s="1"/>
  <c r="H314" i="7" s="1" a="1"/>
  <c r="H314" i="7" s="1"/>
  <c r="E307" i="7" a="1"/>
  <c r="E307" i="7" s="1"/>
  <c r="H307" i="7" s="1" a="1"/>
  <c r="H307" i="7" s="1"/>
  <c r="H326" i="7" a="1"/>
  <c r="H326" i="7" s="1"/>
  <c r="E320" i="7" a="1"/>
  <c r="E320" i="7" s="1"/>
  <c r="H320" i="7" s="1" a="1"/>
  <c r="H320" i="7" s="1"/>
  <c r="E306" i="7" a="1"/>
  <c r="E306" i="7" s="1"/>
  <c r="H306" i="7" s="1" a="1"/>
  <c r="H306" i="7" s="1"/>
  <c r="H325" i="7" a="1"/>
  <c r="H325" i="7" s="1"/>
  <c r="E317" i="7" a="1"/>
  <c r="E317" i="7" s="1"/>
  <c r="H317" i="7" s="1" a="1"/>
  <c r="H317" i="7" s="1"/>
  <c r="E311" i="7" a="1"/>
  <c r="E311" i="7" s="1"/>
  <c r="H311" i="7" s="1" a="1"/>
  <c r="H311" i="7" s="1"/>
  <c r="E305" i="7" a="1"/>
  <c r="E305" i="7" s="1"/>
  <c r="H305" i="7" s="1" a="1"/>
  <c r="H305" i="7" s="1"/>
  <c r="E200" i="7" a="1"/>
  <c r="E200" i="7" s="1"/>
  <c r="H200" i="7" s="1" a="1"/>
  <c r="H200" i="7" s="1"/>
  <c r="E196" i="7" a="1"/>
  <c r="E196" i="7" s="1"/>
  <c r="H196" i="7" s="1" a="1"/>
  <c r="H196" i="7" s="1"/>
  <c r="E192" i="7" a="1"/>
  <c r="E192" i="7" s="1"/>
  <c r="H192" i="7" s="1" a="1"/>
  <c r="H192" i="7" s="1"/>
  <c r="E189" i="7" a="1"/>
  <c r="E189" i="7" s="1"/>
  <c r="H189" i="7" s="1" a="1"/>
  <c r="H189" i="7" s="1"/>
  <c r="E185" i="7" a="1"/>
  <c r="E185" i="7" s="1"/>
  <c r="H185" i="7" s="1" a="1"/>
  <c r="H185" i="7" s="1"/>
  <c r="E181" i="7" a="1"/>
  <c r="E181" i="7" s="1"/>
  <c r="H181" i="7" s="1" a="1"/>
  <c r="H181" i="7" s="1"/>
  <c r="E199" i="7" a="1"/>
  <c r="E199" i="7" s="1"/>
  <c r="H199" i="7" s="1" a="1"/>
  <c r="H199" i="7" s="1"/>
  <c r="E194" i="7" a="1"/>
  <c r="E194" i="7" s="1"/>
  <c r="H194" i="7" s="1" a="1"/>
  <c r="H194" i="7" s="1"/>
  <c r="E184" i="7" a="1"/>
  <c r="E184" i="7" s="1"/>
  <c r="H184" i="7" s="1" a="1"/>
  <c r="H184" i="7" s="1"/>
  <c r="E198" i="7" a="1"/>
  <c r="E198" i="7" s="1"/>
  <c r="H198" i="7" s="1" a="1"/>
  <c r="H198" i="7" s="1"/>
  <c r="E191" i="7" a="1"/>
  <c r="E191" i="7" s="1"/>
  <c r="H191" i="7" s="1" a="1"/>
  <c r="H191" i="7" s="1"/>
  <c r="E186" i="7" a="1"/>
  <c r="E186" i="7" s="1"/>
  <c r="H186" i="7" s="1" a="1"/>
  <c r="H186" i="7" s="1"/>
  <c r="H203" i="7" a="1"/>
  <c r="H203" i="7" s="1"/>
  <c r="E197" i="7" a="1"/>
  <c r="E197" i="7" s="1"/>
  <c r="H197" i="7" s="1" a="1"/>
  <c r="H197" i="7" s="1"/>
  <c r="E190" i="7" a="1"/>
  <c r="E190" i="7" s="1"/>
  <c r="H190" i="7" s="1" a="1"/>
  <c r="H190" i="7" s="1"/>
  <c r="E183" i="7" a="1"/>
  <c r="E183" i="7" s="1"/>
  <c r="H183" i="7" s="1" a="1"/>
  <c r="H183" i="7" s="1"/>
  <c r="H202" i="7" a="1"/>
  <c r="H202" i="7" s="1"/>
  <c r="E195" i="7" a="1"/>
  <c r="E195" i="7" s="1"/>
  <c r="H195" i="7" s="1" a="1"/>
  <c r="H195" i="7" s="1"/>
  <c r="E188" i="7" a="1"/>
  <c r="E188" i="7" s="1"/>
  <c r="H188" i="7" s="1" a="1"/>
  <c r="H188" i="7" s="1"/>
  <c r="E182" i="7" a="1"/>
  <c r="E182" i="7" s="1"/>
  <c r="H182" i="7" s="1" a="1"/>
  <c r="H182" i="7" s="1"/>
  <c r="E193" i="7" a="1"/>
  <c r="E193" i="7" s="1"/>
  <c r="H193" i="7" s="1" a="1"/>
  <c r="H193" i="7" s="1"/>
  <c r="E187" i="7" a="1"/>
  <c r="E187" i="7" s="1"/>
  <c r="H187" i="7" s="1" a="1"/>
  <c r="H187" i="7" s="1"/>
  <c r="E201" i="7" a="1"/>
  <c r="E201" i="7" s="1"/>
  <c r="H201" i="7" s="1" a="1"/>
  <c r="H201" i="7" s="1"/>
  <c r="E365" i="7" a="1"/>
  <c r="E365" i="7" s="1"/>
  <c r="H365" i="7" s="1" a="1"/>
  <c r="H365" i="7" s="1"/>
  <c r="E361" i="7" a="1"/>
  <c r="E361" i="7" s="1"/>
  <c r="H361" i="7" s="1" a="1"/>
  <c r="H361" i="7" s="1"/>
  <c r="E357" i="7" a="1"/>
  <c r="E357" i="7" s="1"/>
  <c r="H357" i="7" s="1" a="1"/>
  <c r="H357" i="7" s="1"/>
  <c r="E350" i="7" a="1"/>
  <c r="E350" i="7" s="1"/>
  <c r="H350" i="7" s="1" a="1"/>
  <c r="H350" i="7" s="1"/>
  <c r="E346" i="7" a="1"/>
  <c r="E346" i="7" s="1"/>
  <c r="H346" i="7" s="1" a="1"/>
  <c r="H346" i="7" s="1"/>
  <c r="E363" i="7" a="1"/>
  <c r="E363" i="7" s="1"/>
  <c r="H363" i="7" s="1" a="1"/>
  <c r="H363" i="7" s="1"/>
  <c r="E358" i="7" a="1"/>
  <c r="E358" i="7" s="1"/>
  <c r="H358" i="7" s="1" a="1"/>
  <c r="H358" i="7" s="1"/>
  <c r="E353" i="7" a="1"/>
  <c r="E353" i="7" s="1"/>
  <c r="H353" i="7" s="1" a="1"/>
  <c r="H353" i="7" s="1"/>
  <c r="E348" i="7" a="1"/>
  <c r="E348" i="7" s="1"/>
  <c r="H348" i="7" s="1" a="1"/>
  <c r="H348" i="7" s="1"/>
  <c r="E362" i="7" a="1"/>
  <c r="E362" i="7" s="1"/>
  <c r="H362" i="7" s="1" a="1"/>
  <c r="H362" i="7" s="1"/>
  <c r="E355" i="7" a="1"/>
  <c r="E355" i="7" s="1"/>
  <c r="H355" i="7" s="1" a="1"/>
  <c r="H355" i="7" s="1"/>
  <c r="E349" i="7" a="1"/>
  <c r="E349" i="7" s="1"/>
  <c r="H349" i="7" s="1" a="1"/>
  <c r="H349" i="7" s="1"/>
  <c r="H367" i="7" a="1"/>
  <c r="H367" i="7" s="1"/>
  <c r="E360" i="7" a="1"/>
  <c r="E360" i="7" s="1"/>
  <c r="H360" i="7" s="1" a="1"/>
  <c r="H360" i="7" s="1"/>
  <c r="E354" i="7" a="1"/>
  <c r="E354" i="7" s="1"/>
  <c r="H354" i="7" s="1" a="1"/>
  <c r="H354" i="7" s="1"/>
  <c r="E347" i="7" a="1"/>
  <c r="E347" i="7" s="1"/>
  <c r="H347" i="7" s="1" a="1"/>
  <c r="H347" i="7" s="1"/>
  <c r="H366" i="7" a="1"/>
  <c r="H366" i="7" s="1"/>
  <c r="E359" i="7" a="1"/>
  <c r="E359" i="7" s="1"/>
  <c r="H359" i="7" s="1" a="1"/>
  <c r="H359" i="7" s="1"/>
  <c r="E352" i="7" a="1"/>
  <c r="E352" i="7" s="1"/>
  <c r="H352" i="7" s="1" a="1"/>
  <c r="H352" i="7" s="1"/>
  <c r="E345" i="7" a="1"/>
  <c r="E345" i="7" s="1"/>
  <c r="H345" i="7" s="1" a="1"/>
  <c r="H345" i="7" s="1"/>
  <c r="E364" i="7" a="1"/>
  <c r="E364" i="7" s="1"/>
  <c r="H364" i="7" s="1" a="1"/>
  <c r="H364" i="7" s="1"/>
  <c r="E356" i="7" a="1"/>
  <c r="E356" i="7" s="1"/>
  <c r="H356" i="7" s="1" a="1"/>
  <c r="H356" i="7" s="1"/>
  <c r="E351" i="7" a="1"/>
  <c r="E351" i="7" s="1"/>
  <c r="H351" i="7" s="1" a="1"/>
  <c r="H351" i="7" s="1"/>
  <c r="H243" i="7" a="1"/>
  <c r="H243" i="7" s="1"/>
  <c r="E239" i="7" a="1"/>
  <c r="E239" i="7" s="1"/>
  <c r="H239" i="7" s="1" a="1"/>
  <c r="H239" i="7" s="1"/>
  <c r="E235" i="7" a="1"/>
  <c r="E235" i="7" s="1"/>
  <c r="H235" i="7" s="1" a="1"/>
  <c r="H235" i="7" s="1"/>
  <c r="E231" i="7" a="1"/>
  <c r="E231" i="7" s="1"/>
  <c r="H231" i="7" s="1" a="1"/>
  <c r="H231" i="7" s="1"/>
  <c r="E228" i="7" a="1"/>
  <c r="E228" i="7" s="1"/>
  <c r="H228" i="7" s="1" a="1"/>
  <c r="H228" i="7" s="1"/>
  <c r="E224" i="7" a="1"/>
  <c r="E224" i="7" s="1"/>
  <c r="H224" i="7" s="1" a="1"/>
  <c r="H224" i="7" s="1"/>
  <c r="E242" i="7" a="1"/>
  <c r="E242" i="7" s="1"/>
  <c r="H242" i="7" s="1" a="1"/>
  <c r="H242" i="7" s="1"/>
  <c r="E237" i="7" a="1"/>
  <c r="E237" i="7" s="1"/>
  <c r="H237" i="7" s="1" a="1"/>
  <c r="H237" i="7" s="1"/>
  <c r="E232" i="7" a="1"/>
  <c r="E232" i="7" s="1"/>
  <c r="H232" i="7" s="1" a="1"/>
  <c r="H232" i="7" s="1"/>
  <c r="E227" i="7" a="1"/>
  <c r="E227" i="7" s="1"/>
  <c r="H227" i="7" s="1" a="1"/>
  <c r="H227" i="7" s="1"/>
  <c r="E222" i="7" a="1"/>
  <c r="E222" i="7" s="1"/>
  <c r="H222" i="7" s="1" a="1"/>
  <c r="H222" i="7" s="1"/>
  <c r="H244" i="7" a="1"/>
  <c r="H244" i="7" s="1"/>
  <c r="E236" i="7" a="1"/>
  <c r="E236" i="7" s="1"/>
  <c r="H236" i="7" s="1" a="1"/>
  <c r="H236" i="7" s="1"/>
  <c r="E230" i="7" a="1"/>
  <c r="E230" i="7" s="1"/>
  <c r="H230" i="7" s="1" a="1"/>
  <c r="H230" i="7" s="1"/>
  <c r="E223" i="7" a="1"/>
  <c r="E223" i="7" s="1"/>
  <c r="H223" i="7" s="1" a="1"/>
  <c r="H223" i="7" s="1"/>
  <c r="E241" i="7" a="1"/>
  <c r="E241" i="7" s="1"/>
  <c r="H241" i="7" s="1" a="1"/>
  <c r="H241" i="7" s="1"/>
  <c r="E234" i="7" a="1"/>
  <c r="E234" i="7" s="1"/>
  <c r="H234" i="7" s="1" a="1"/>
  <c r="H234" i="7" s="1"/>
  <c r="E229" i="7" a="1"/>
  <c r="E229" i="7" s="1"/>
  <c r="H229" i="7" s="1" a="1"/>
  <c r="H229" i="7" s="1"/>
  <c r="E240" i="7" a="1"/>
  <c r="E240" i="7" s="1"/>
  <c r="H240" i="7" s="1" a="1"/>
  <c r="H240" i="7" s="1"/>
  <c r="E233" i="7" a="1"/>
  <c r="E233" i="7" s="1"/>
  <c r="H233" i="7" s="1" a="1"/>
  <c r="H233" i="7" s="1"/>
  <c r="E226" i="7" a="1"/>
  <c r="E226" i="7" s="1"/>
  <c r="H226" i="7" s="1" a="1"/>
  <c r="H226" i="7" s="1"/>
  <c r="E238" i="7" a="1"/>
  <c r="E238" i="7" s="1"/>
  <c r="H238" i="7" s="1" a="1"/>
  <c r="H238" i="7" s="1"/>
  <c r="E225" i="7" a="1"/>
  <c r="E225" i="7" s="1"/>
  <c r="H225" i="7" s="1" a="1"/>
  <c r="H225" i="7" s="1"/>
  <c r="E406" i="7" a="1"/>
  <c r="E406" i="7" s="1"/>
  <c r="H406" i="7" s="1" a="1"/>
  <c r="H406" i="7" s="1"/>
  <c r="E401" i="7" a="1"/>
  <c r="E401" i="7" s="1"/>
  <c r="H401" i="7" s="1" a="1"/>
  <c r="H401" i="7" s="1"/>
  <c r="E398" i="7" a="1"/>
  <c r="E398" i="7" s="1"/>
  <c r="H398" i="7" s="1" a="1"/>
  <c r="H398" i="7" s="1"/>
  <c r="E394" i="7" a="1"/>
  <c r="E394" i="7" s="1"/>
  <c r="H394" i="7" s="1" a="1"/>
  <c r="H394" i="7" s="1"/>
  <c r="E391" i="7" a="1"/>
  <c r="E391" i="7" s="1"/>
  <c r="H391" i="7" s="1" a="1"/>
  <c r="H391" i="7" s="1"/>
  <c r="H408" i="7" a="1"/>
  <c r="H408" i="7" s="1"/>
  <c r="E405" i="7" a="1"/>
  <c r="E405" i="7" s="1"/>
  <c r="H405" i="7" s="1" a="1"/>
  <c r="H405" i="7" s="1"/>
  <c r="E392" i="7" a="1"/>
  <c r="E392" i="7" s="1"/>
  <c r="H392" i="7" s="1" a="1"/>
  <c r="H392" i="7" s="1"/>
  <c r="E388" i="7" a="1"/>
  <c r="E388" i="7" s="1"/>
  <c r="H388" i="7" s="1" a="1"/>
  <c r="H388" i="7" s="1"/>
  <c r="E404" i="7" a="1"/>
  <c r="E404" i="7" s="1"/>
  <c r="H404" i="7" s="1" a="1"/>
  <c r="H404" i="7" s="1"/>
  <c r="E400" i="7" a="1"/>
  <c r="E400" i="7" s="1"/>
  <c r="H400" i="7" s="1" a="1"/>
  <c r="H400" i="7" s="1"/>
  <c r="E397" i="7" a="1"/>
  <c r="E397" i="7" s="1"/>
  <c r="H397" i="7" s="1" a="1"/>
  <c r="H397" i="7" s="1"/>
  <c r="H407" i="7" a="1"/>
  <c r="H407" i="7" s="1"/>
  <c r="E393" i="7" a="1"/>
  <c r="E393" i="7" s="1"/>
  <c r="H393" i="7" s="1" a="1"/>
  <c r="H393" i="7" s="1"/>
  <c r="E389" i="7" a="1"/>
  <c r="E389" i="7" s="1"/>
  <c r="H389" i="7" s="1" a="1"/>
  <c r="H389" i="7" s="1"/>
  <c r="E399" i="7" a="1"/>
  <c r="E399" i="7" s="1"/>
  <c r="H399" i="7" s="1" a="1"/>
  <c r="H399" i="7" s="1"/>
  <c r="E387" i="7" a="1"/>
  <c r="E387" i="7" s="1"/>
  <c r="H387" i="7" s="1" a="1"/>
  <c r="H387" i="7" s="1"/>
  <c r="E403" i="7" a="1"/>
  <c r="E403" i="7" s="1"/>
  <c r="H403" i="7" s="1" a="1"/>
  <c r="H403" i="7" s="1"/>
  <c r="E396" i="7" a="1"/>
  <c r="E396" i="7" s="1"/>
  <c r="H396" i="7" s="1" a="1"/>
  <c r="H396" i="7" s="1"/>
  <c r="E386" i="7" a="1"/>
  <c r="E386" i="7" s="1"/>
  <c r="H386" i="7" s="1" a="1"/>
  <c r="H386" i="7" s="1"/>
  <c r="E402" i="7" a="1"/>
  <c r="E402" i="7" s="1"/>
  <c r="H402" i="7" s="1" a="1"/>
  <c r="H402" i="7" s="1"/>
  <c r="E395" i="7" a="1"/>
  <c r="E395" i="7" s="1"/>
  <c r="H395" i="7" s="1" a="1"/>
  <c r="H395" i="7" s="1"/>
  <c r="E390" i="7" a="1"/>
  <c r="E390" i="7" s="1"/>
  <c r="H390" i="7" s="1" a="1"/>
  <c r="H390" i="7" s="1"/>
  <c r="I75" i="7"/>
  <c r="J75" i="7" s="1"/>
  <c r="J76" i="7"/>
  <c r="H38" i="7" a="1"/>
  <c r="H38" i="7" s="1"/>
  <c r="E34" i="7" a="1"/>
  <c r="E34" i="7" s="1"/>
  <c r="H34" i="7" s="1" a="1"/>
  <c r="H34" i="7" s="1"/>
  <c r="E30" i="7" a="1"/>
  <c r="E30" i="7" s="1"/>
  <c r="E26" i="7" a="1"/>
  <c r="E26" i="7" s="1"/>
  <c r="H26" i="7" s="1" a="1"/>
  <c r="H26" i="7" s="1"/>
  <c r="E23" i="7" a="1"/>
  <c r="E23" i="7" s="1"/>
  <c r="H23" i="7" s="1" a="1"/>
  <c r="H23" i="7" s="1"/>
  <c r="E19" i="7" a="1"/>
  <c r="E19" i="7" s="1"/>
  <c r="H19" i="7" s="1" a="1"/>
  <c r="H19" i="7" s="1"/>
  <c r="E37" i="7" a="1"/>
  <c r="E37" i="7" s="1"/>
  <c r="H37" i="7" s="1" a="1"/>
  <c r="H37" i="7" s="1"/>
  <c r="E33" i="7" a="1"/>
  <c r="E33" i="7" s="1"/>
  <c r="H33" i="7" s="1" a="1"/>
  <c r="H33" i="7" s="1"/>
  <c r="E29" i="7" a="1"/>
  <c r="E29" i="7" s="1"/>
  <c r="E22" i="7" a="1"/>
  <c r="E22" i="7" s="1"/>
  <c r="H22" i="7" s="1" a="1"/>
  <c r="H22" i="7" s="1"/>
  <c r="E18" i="7" a="1"/>
  <c r="E18" i="7" s="1"/>
  <c r="E36" i="7" a="1"/>
  <c r="E36" i="7" s="1"/>
  <c r="H36" i="7" s="1" a="1"/>
  <c r="H36" i="7" s="1"/>
  <c r="E32" i="7" a="1"/>
  <c r="E32" i="7" s="1"/>
  <c r="H32" i="7" s="1" a="1"/>
  <c r="H32" i="7" s="1"/>
  <c r="E28" i="7" a="1"/>
  <c r="E28" i="7" s="1"/>
  <c r="E25" i="7" a="1"/>
  <c r="E25" i="7" s="1"/>
  <c r="E21" i="7" a="1"/>
  <c r="E21" i="7" s="1"/>
  <c r="H21" i="7" s="1" a="1"/>
  <c r="H21" i="7" s="1"/>
  <c r="E17" i="7" a="1"/>
  <c r="E17" i="7" s="1"/>
  <c r="E35" i="7" a="1"/>
  <c r="E35" i="7" s="1"/>
  <c r="H35" i="7" s="1" a="1"/>
  <c r="H35" i="7" s="1"/>
  <c r="E31" i="7" a="1"/>
  <c r="E31" i="7" s="1"/>
  <c r="E27" i="7" a="1"/>
  <c r="E27" i="7" s="1"/>
  <c r="H27" i="7" s="1" a="1"/>
  <c r="H27" i="7" s="1"/>
  <c r="E24" i="7" a="1"/>
  <c r="E24" i="7" s="1"/>
  <c r="H24" i="7" s="1" a="1"/>
  <c r="H24" i="7" s="1"/>
  <c r="E20" i="7" a="1"/>
  <c r="E20" i="7" s="1"/>
  <c r="H20" i="7" s="1" a="1"/>
  <c r="H20" i="7" s="1"/>
  <c r="G390" i="25"/>
  <c r="B381" i="7" s="1"/>
  <c r="F390" i="25"/>
  <c r="E390" i="25"/>
  <c r="N389" i="25"/>
  <c r="M389" i="25"/>
  <c r="K390" i="25"/>
  <c r="G350" i="25"/>
  <c r="B340" i="7" s="1"/>
  <c r="F350" i="25"/>
  <c r="E350" i="25"/>
  <c r="N349" i="25"/>
  <c r="M349" i="25"/>
  <c r="K350" i="25"/>
  <c r="G311" i="25"/>
  <c r="B299" i="7" s="1"/>
  <c r="F311" i="25"/>
  <c r="E311" i="25"/>
  <c r="N310" i="25"/>
  <c r="M310" i="25"/>
  <c r="K311" i="25"/>
  <c r="G273" i="25"/>
  <c r="B258" i="7" s="1"/>
  <c r="F273" i="25"/>
  <c r="E273" i="25"/>
  <c r="N272" i="25"/>
  <c r="M272" i="25"/>
  <c r="K273" i="25"/>
  <c r="G233" i="25"/>
  <c r="B217" i="7" s="1"/>
  <c r="F233" i="25"/>
  <c r="E233" i="25"/>
  <c r="N232" i="25"/>
  <c r="M232" i="25"/>
  <c r="K233" i="25"/>
  <c r="I39" i="25"/>
  <c r="G194" i="25"/>
  <c r="F194" i="25"/>
  <c r="E194" i="25"/>
  <c r="N193" i="25"/>
  <c r="M193" i="25"/>
  <c r="K194" i="25"/>
  <c r="G155" i="25"/>
  <c r="F155" i="25"/>
  <c r="E155" i="25"/>
  <c r="N154" i="25"/>
  <c r="M154" i="25"/>
  <c r="I155" i="25"/>
  <c r="B135" i="7" s="1"/>
  <c r="G116" i="25"/>
  <c r="F116" i="25"/>
  <c r="E116" i="25"/>
  <c r="N115" i="25"/>
  <c r="M115" i="25"/>
  <c r="J116" i="25"/>
  <c r="G77" i="25"/>
  <c r="F77" i="25"/>
  <c r="E77" i="25"/>
  <c r="N76" i="25"/>
  <c r="M76" i="25"/>
  <c r="I77" i="25"/>
  <c r="B53" i="7" s="1"/>
  <c r="G39" i="25"/>
  <c r="F39" i="25"/>
  <c r="E39" i="25"/>
  <c r="M38" i="25"/>
  <c r="N38" i="25"/>
  <c r="N17" i="25"/>
  <c r="H31" i="7" l="1" a="1"/>
  <c r="H31" i="7" s="1"/>
  <c r="D31" i="7" a="1"/>
  <c r="D31" i="7" s="1"/>
  <c r="H30" i="7" a="1"/>
  <c r="H30" i="7" s="1"/>
  <c r="D30" i="7" a="1"/>
  <c r="D30" i="7" s="1"/>
  <c r="H28" i="7" a="1"/>
  <c r="H28" i="7" s="1"/>
  <c r="D28" i="7" a="1"/>
  <c r="D28" i="7" s="1"/>
  <c r="H29" i="7" a="1"/>
  <c r="H29" i="7" s="1"/>
  <c r="D29" i="7" a="1"/>
  <c r="D29" i="7" s="1"/>
  <c r="D17" i="7" a="1"/>
  <c r="D17" i="7" s="1"/>
  <c r="H17" i="7" a="1"/>
  <c r="H17" i="7" s="1"/>
  <c r="H25" i="7" a="1"/>
  <c r="H25" i="7" s="1"/>
  <c r="J25" i="7" s="1"/>
  <c r="H18" i="7" a="1"/>
  <c r="H18" i="7" s="1"/>
  <c r="I18" i="7" s="1"/>
  <c r="J18" i="7" s="1"/>
  <c r="I412" i="7"/>
  <c r="J412" i="7" s="1"/>
  <c r="I371" i="7"/>
  <c r="J371" i="7" s="1"/>
  <c r="J330" i="7"/>
  <c r="I330" i="7"/>
  <c r="I289" i="7"/>
  <c r="J289" i="7" s="1"/>
  <c r="I248" i="7"/>
  <c r="J248" i="7" s="1"/>
  <c r="I166" i="7"/>
  <c r="J166" i="7" s="1"/>
  <c r="I125" i="7"/>
  <c r="J125" i="7" s="1"/>
  <c r="D43" i="7" a="1"/>
  <c r="D43" i="7" s="1"/>
  <c r="D44" i="7" a="1"/>
  <c r="D44" i="7" s="1"/>
  <c r="D45" i="7" a="1"/>
  <c r="D45" i="7" s="1"/>
  <c r="E8" i="25"/>
  <c r="F8" i="25"/>
  <c r="G8" i="25"/>
  <c r="B12" i="7"/>
  <c r="D34" i="7" a="1"/>
  <c r="D34" i="7" s="1"/>
  <c r="J280" i="7"/>
  <c r="D280" i="7" a="1"/>
  <c r="D280" i="7" s="1"/>
  <c r="J404" i="7"/>
  <c r="D404" i="7" a="1"/>
  <c r="D404" i="7" s="1"/>
  <c r="J363" i="7"/>
  <c r="D363" i="7" a="1"/>
  <c r="D363" i="7" s="1"/>
  <c r="I198" i="7"/>
  <c r="J198" i="7" s="1"/>
  <c r="D198" i="7" a="1"/>
  <c r="D198" i="7" s="1"/>
  <c r="J321" i="7"/>
  <c r="D321" i="7" a="1"/>
  <c r="D321" i="7" s="1"/>
  <c r="J117" i="7"/>
  <c r="D117" i="7" a="1"/>
  <c r="D117" i="7" s="1"/>
  <c r="D239" i="7" a="1"/>
  <c r="D239" i="7" s="1"/>
  <c r="D209" i="7" a="1"/>
  <c r="D209" i="7" s="1"/>
  <c r="J199" i="7"/>
  <c r="D199" i="7" a="1"/>
  <c r="D199" i="7" s="1"/>
  <c r="D207" i="7" a="1"/>
  <c r="D207" i="7" s="1"/>
  <c r="D157" i="7" a="1"/>
  <c r="D157" i="7" s="1"/>
  <c r="J158" i="7"/>
  <c r="D158" i="7" a="1"/>
  <c r="D158" i="7" s="1"/>
  <c r="J322" i="7"/>
  <c r="D322" i="7" a="1"/>
  <c r="D322" i="7" s="1"/>
  <c r="J403" i="7"/>
  <c r="D403" i="7" a="1"/>
  <c r="D403" i="7" s="1"/>
  <c r="J240" i="7"/>
  <c r="D240" i="7" a="1"/>
  <c r="D240" i="7" s="1"/>
  <c r="J362" i="7"/>
  <c r="D362" i="7" a="1"/>
  <c r="D362" i="7" s="1"/>
  <c r="I116" i="7"/>
  <c r="J116" i="7" s="1"/>
  <c r="D116" i="7" a="1"/>
  <c r="D116" i="7" s="1"/>
  <c r="J35" i="7"/>
  <c r="D35" i="7" a="1"/>
  <c r="D35" i="7" s="1"/>
  <c r="D208" i="7" a="1"/>
  <c r="D208" i="7" s="1"/>
  <c r="J281" i="7"/>
  <c r="D281" i="7" a="1"/>
  <c r="D281" i="7" s="1"/>
  <c r="D389" i="7" a="1"/>
  <c r="D389" i="7" s="1"/>
  <c r="D396" i="7" a="1"/>
  <c r="D396" i="7" s="1"/>
  <c r="D405" i="7" a="1"/>
  <c r="D405" i="7" s="1"/>
  <c r="J405" i="7"/>
  <c r="I398" i="7"/>
  <c r="J398" i="7" s="1"/>
  <c r="D398" i="7" a="1"/>
  <c r="D398" i="7" s="1"/>
  <c r="D402" i="7" a="1"/>
  <c r="D402" i="7" s="1"/>
  <c r="D391" i="7" a="1"/>
  <c r="D391" i="7" s="1"/>
  <c r="I391" i="7"/>
  <c r="J391" i="7" s="1"/>
  <c r="D397" i="7" a="1"/>
  <c r="D397" i="7" s="1"/>
  <c r="D407" i="7" a="1"/>
  <c r="D407" i="7" s="1"/>
  <c r="D400" i="7" a="1"/>
  <c r="D400" i="7" s="1"/>
  <c r="D393" i="7" a="1"/>
  <c r="D393" i="7" s="1"/>
  <c r="D399" i="7" a="1"/>
  <c r="D399" i="7" s="1"/>
  <c r="D390" i="7" a="1"/>
  <c r="D390" i="7" s="1"/>
  <c r="I386" i="7"/>
  <c r="J386" i="7" s="1"/>
  <c r="D386" i="7" a="1"/>
  <c r="D386" i="7" s="1"/>
  <c r="D387" i="7" a="1"/>
  <c r="D387" i="7" s="1"/>
  <c r="D406" i="7" a="1"/>
  <c r="D406" i="7" s="1"/>
  <c r="D395" i="7" a="1"/>
  <c r="D395" i="7" s="1"/>
  <c r="D401" i="7" a="1"/>
  <c r="D401" i="7" s="1"/>
  <c r="J394" i="7"/>
  <c r="D394" i="7" a="1"/>
  <c r="D394" i="7" s="1"/>
  <c r="I388" i="7"/>
  <c r="J388" i="7" s="1"/>
  <c r="D388" i="7" a="1"/>
  <c r="D388" i="7" s="1"/>
  <c r="D392" i="7" a="1"/>
  <c r="D392" i="7" s="1"/>
  <c r="D408" i="7" a="1"/>
  <c r="D408" i="7" s="1"/>
  <c r="D360" i="7" a="1"/>
  <c r="D360" i="7" s="1"/>
  <c r="I349" i="7"/>
  <c r="J349" i="7" s="1"/>
  <c r="D349" i="7" a="1"/>
  <c r="D349" i="7" s="1"/>
  <c r="I365" i="7"/>
  <c r="J365" i="7" s="1"/>
  <c r="D365" i="7" a="1"/>
  <c r="D365" i="7" s="1"/>
  <c r="I345" i="7"/>
  <c r="J345" i="7" s="1"/>
  <c r="D345" i="7" a="1"/>
  <c r="D345" i="7" s="1"/>
  <c r="D361" i="7" a="1"/>
  <c r="D361" i="7" s="1"/>
  <c r="I361" i="7"/>
  <c r="J361" i="7" s="1"/>
  <c r="D346" i="7" a="1"/>
  <c r="D346" i="7" s="1"/>
  <c r="I346" i="7"/>
  <c r="J346" i="7" s="1"/>
  <c r="D352" i="7" a="1"/>
  <c r="D352" i="7" s="1"/>
  <c r="I352" i="7"/>
  <c r="J352" i="7" s="1"/>
  <c r="D367" i="7" a="1"/>
  <c r="D367" i="7" s="1"/>
  <c r="I356" i="7"/>
  <c r="J356" i="7" s="1"/>
  <c r="D356" i="7" a="1"/>
  <c r="D356" i="7" s="1"/>
  <c r="D351" i="7" a="1"/>
  <c r="D351" i="7" s="1"/>
  <c r="I351" i="7"/>
  <c r="J351" i="7" s="1"/>
  <c r="I348" i="7"/>
  <c r="J348" i="7" s="1"/>
  <c r="D348" i="7" a="1"/>
  <c r="D348" i="7" s="1"/>
  <c r="D366" i="7" a="1"/>
  <c r="D366" i="7" s="1"/>
  <c r="I355" i="7"/>
  <c r="J355" i="7" s="1"/>
  <c r="D355" i="7" a="1"/>
  <c r="D355" i="7" s="1"/>
  <c r="I350" i="7"/>
  <c r="J350" i="7" s="1"/>
  <c r="D350" i="7" a="1"/>
  <c r="D350" i="7" s="1"/>
  <c r="I354" i="7"/>
  <c r="J354" i="7" s="1"/>
  <c r="D354" i="7" a="1"/>
  <c r="D354" i="7" s="1"/>
  <c r="D359" i="7" a="1"/>
  <c r="D359" i="7" s="1"/>
  <c r="I347" i="7"/>
  <c r="J347" i="7" s="1"/>
  <c r="D347" i="7" a="1"/>
  <c r="D347" i="7" s="1"/>
  <c r="D357" i="7" a="1"/>
  <c r="D357" i="7" s="1"/>
  <c r="D353" i="7" a="1"/>
  <c r="D353" i="7" s="1"/>
  <c r="J353" i="7"/>
  <c r="J364" i="7"/>
  <c r="D364" i="7" a="1"/>
  <c r="D364" i="7" s="1"/>
  <c r="D358" i="7" a="1"/>
  <c r="D358" i="7" s="1"/>
  <c r="I358" i="7"/>
  <c r="J358" i="7" s="1"/>
  <c r="D318" i="7" a="1"/>
  <c r="D318" i="7" s="1"/>
  <c r="D307" i="7" a="1"/>
  <c r="D307" i="7" s="1"/>
  <c r="I306" i="7"/>
  <c r="J306" i="7" s="1"/>
  <c r="D306" i="7" a="1"/>
  <c r="D306" i="7" s="1"/>
  <c r="I315" i="7"/>
  <c r="J315" i="7" s="1"/>
  <c r="D315" i="7" a="1"/>
  <c r="D315" i="7" s="1"/>
  <c r="D305" i="7" a="1"/>
  <c r="D305" i="7" s="1"/>
  <c r="I305" i="7"/>
  <c r="J305" i="7" s="1"/>
  <c r="D313" i="7" a="1"/>
  <c r="D313" i="7" s="1"/>
  <c r="I313" i="7"/>
  <c r="J313" i="7" s="1"/>
  <c r="D317" i="7" a="1"/>
  <c r="D317" i="7" s="1"/>
  <c r="D311" i="7" a="1"/>
  <c r="D311" i="7" s="1"/>
  <c r="D319" i="7" a="1"/>
  <c r="D319" i="7" s="1"/>
  <c r="I319" i="7"/>
  <c r="J319" i="7" s="1"/>
  <c r="D308" i="7" a="1"/>
  <c r="D308" i="7" s="1"/>
  <c r="I316" i="7"/>
  <c r="J316" i="7" s="1"/>
  <c r="D316" i="7" a="1"/>
  <c r="D316" i="7" s="1"/>
  <c r="D325" i="7" a="1"/>
  <c r="D325" i="7" s="1"/>
  <c r="D323" i="7" a="1"/>
  <c r="D323" i="7" s="1"/>
  <c r="J323" i="7"/>
  <c r="D310" i="7" a="1"/>
  <c r="D310" i="7" s="1"/>
  <c r="D320" i="7" a="1"/>
  <c r="D320" i="7" s="1"/>
  <c r="D309" i="7" a="1"/>
  <c r="D309" i="7" s="1"/>
  <c r="I309" i="7"/>
  <c r="J309" i="7" s="1"/>
  <c r="I304" i="7"/>
  <c r="J304" i="7" s="1"/>
  <c r="D304" i="7" a="1"/>
  <c r="D304" i="7" s="1"/>
  <c r="D314" i="7" a="1"/>
  <c r="D314" i="7" s="1"/>
  <c r="I314" i="7"/>
  <c r="J314" i="7" s="1"/>
  <c r="D326" i="7" a="1"/>
  <c r="D326" i="7" s="1"/>
  <c r="J312" i="7"/>
  <c r="D312" i="7" a="1"/>
  <c r="D312" i="7" s="1"/>
  <c r="D324" i="7" a="1"/>
  <c r="D324" i="7" s="1"/>
  <c r="D266" i="7" a="1"/>
  <c r="D266" i="7" s="1"/>
  <c r="I273" i="7"/>
  <c r="J273" i="7" s="1"/>
  <c r="D273" i="7" a="1"/>
  <c r="D273" i="7" s="1"/>
  <c r="D282" i="7" a="1"/>
  <c r="D282" i="7" s="1"/>
  <c r="J282" i="7"/>
  <c r="D275" i="7" a="1"/>
  <c r="D275" i="7" s="1"/>
  <c r="I275" i="7"/>
  <c r="J275" i="7" s="1"/>
  <c r="D279" i="7" a="1"/>
  <c r="D279" i="7" s="1"/>
  <c r="D268" i="7" a="1"/>
  <c r="D268" i="7" s="1"/>
  <c r="I268" i="7"/>
  <c r="J268" i="7" s="1"/>
  <c r="D274" i="7" a="1"/>
  <c r="D274" i="7" s="1"/>
  <c r="I274" i="7"/>
  <c r="J274" i="7" s="1"/>
  <c r="D284" i="7" a="1"/>
  <c r="D284" i="7" s="1"/>
  <c r="D277" i="7" a="1"/>
  <c r="D277" i="7" s="1"/>
  <c r="D270" i="7" a="1"/>
  <c r="D270" i="7" s="1"/>
  <c r="D276" i="7" a="1"/>
  <c r="D276" i="7" s="1"/>
  <c r="D267" i="7" a="1"/>
  <c r="D267" i="7" s="1"/>
  <c r="I263" i="7"/>
  <c r="J263" i="7" s="1"/>
  <c r="D263" i="7" a="1"/>
  <c r="D263" i="7" s="1"/>
  <c r="I264" i="7"/>
  <c r="J264" i="7" s="1"/>
  <c r="D264" i="7" a="1"/>
  <c r="D264" i="7" s="1"/>
  <c r="D283" i="7" a="1"/>
  <c r="D283" i="7" s="1"/>
  <c r="D272" i="7" a="1"/>
  <c r="D272" i="7" s="1"/>
  <c r="I272" i="7"/>
  <c r="J272" i="7" s="1"/>
  <c r="D278" i="7" a="1"/>
  <c r="D278" i="7" s="1"/>
  <c r="I278" i="7"/>
  <c r="J278" i="7" s="1"/>
  <c r="D271" i="7" a="1"/>
  <c r="D271" i="7" s="1"/>
  <c r="J271" i="7"/>
  <c r="I265" i="7"/>
  <c r="J265" i="7" s="1"/>
  <c r="D265" i="7" a="1"/>
  <c r="D265" i="7" s="1"/>
  <c r="D269" i="7" a="1"/>
  <c r="D269" i="7" s="1"/>
  <c r="D285" i="7" a="1"/>
  <c r="D285" i="7" s="1"/>
  <c r="D225" i="7" a="1"/>
  <c r="D225" i="7" s="1"/>
  <c r="D232" i="7" a="1"/>
  <c r="D232" i="7" s="1"/>
  <c r="D241" i="7" a="1"/>
  <c r="D241" i="7" s="1"/>
  <c r="J241" i="7"/>
  <c r="I234" i="7"/>
  <c r="J234" i="7" s="1"/>
  <c r="D234" i="7" a="1"/>
  <c r="D234" i="7" s="1"/>
  <c r="D238" i="7" a="1"/>
  <c r="D238" i="7" s="1"/>
  <c r="D227" i="7" a="1"/>
  <c r="D227" i="7" s="1"/>
  <c r="I227" i="7"/>
  <c r="J227" i="7" s="1"/>
  <c r="D233" i="7" a="1"/>
  <c r="D233" i="7" s="1"/>
  <c r="D243" i="7" a="1"/>
  <c r="D243" i="7" s="1"/>
  <c r="D236" i="7" a="1"/>
  <c r="D236" i="7" s="1"/>
  <c r="D229" i="7" a="1"/>
  <c r="D229" i="7" s="1"/>
  <c r="I229" i="7"/>
  <c r="J229" i="7" s="1"/>
  <c r="D235" i="7" a="1"/>
  <c r="D235" i="7" s="1"/>
  <c r="D226" i="7" a="1"/>
  <c r="D226" i="7" s="1"/>
  <c r="I222" i="7"/>
  <c r="J222" i="7" s="1"/>
  <c r="D222" i="7" a="1"/>
  <c r="D222" i="7" s="1"/>
  <c r="I223" i="7"/>
  <c r="J223" i="7" s="1"/>
  <c r="D223" i="7" a="1"/>
  <c r="D223" i="7" s="1"/>
  <c r="D242" i="7" a="1"/>
  <c r="D242" i="7" s="1"/>
  <c r="D231" i="7" a="1"/>
  <c r="D231" i="7" s="1"/>
  <c r="D237" i="7" a="1"/>
  <c r="D237" i="7" s="1"/>
  <c r="D230" i="7" a="1"/>
  <c r="D230" i="7" s="1"/>
  <c r="J230" i="7"/>
  <c r="I224" i="7"/>
  <c r="J224" i="7" s="1"/>
  <c r="D224" i="7" a="1"/>
  <c r="D224" i="7" s="1"/>
  <c r="D228" i="7" a="1"/>
  <c r="D228" i="7" s="1"/>
  <c r="I228" i="7"/>
  <c r="J228" i="7" s="1"/>
  <c r="D244" i="7" a="1"/>
  <c r="D244" i="7" s="1"/>
  <c r="D182" i="7" a="1"/>
  <c r="D182" i="7" s="1"/>
  <c r="I182" i="7"/>
  <c r="J182" i="7" s="1"/>
  <c r="D195" i="7" a="1"/>
  <c r="D195" i="7" s="1"/>
  <c r="D185" i="7" a="1"/>
  <c r="D185" i="7" s="1"/>
  <c r="D184" i="7" a="1"/>
  <c r="D184" i="7" s="1"/>
  <c r="I184" i="7"/>
  <c r="J184" i="7" s="1"/>
  <c r="D186" i="7" a="1"/>
  <c r="D186" i="7" s="1"/>
  <c r="I186" i="7"/>
  <c r="J186" i="7" s="1"/>
  <c r="I187" i="7"/>
  <c r="J187" i="7" s="1"/>
  <c r="D187" i="7" a="1"/>
  <c r="D187" i="7" s="1"/>
  <c r="D196" i="7" a="1"/>
  <c r="D196" i="7" s="1"/>
  <c r="I188" i="7"/>
  <c r="J188" i="7" s="1"/>
  <c r="D188" i="7" a="1"/>
  <c r="D188" i="7" s="1"/>
  <c r="J200" i="7"/>
  <c r="D200" i="7" a="1"/>
  <c r="D200" i="7" s="1"/>
  <c r="D194" i="7" a="1"/>
  <c r="D194" i="7" s="1"/>
  <c r="I194" i="7"/>
  <c r="J194" i="7" s="1"/>
  <c r="D190" i="7" a="1"/>
  <c r="D190" i="7" s="1"/>
  <c r="I190" i="7"/>
  <c r="J190" i="7" s="1"/>
  <c r="J189" i="7"/>
  <c r="D189" i="7" a="1"/>
  <c r="D189" i="7" s="1"/>
  <c r="D202" i="7" a="1"/>
  <c r="D202" i="7" s="1"/>
  <c r="I191" i="7"/>
  <c r="J191" i="7" s="1"/>
  <c r="D191" i="7" a="1"/>
  <c r="D191" i="7" s="1"/>
  <c r="D203" i="7" a="1"/>
  <c r="D203" i="7" s="1"/>
  <c r="I197" i="7"/>
  <c r="J197" i="7" s="1"/>
  <c r="D197" i="7" a="1"/>
  <c r="D197" i="7" s="1"/>
  <c r="D192" i="7" a="1"/>
  <c r="D192" i="7" s="1"/>
  <c r="I192" i="7"/>
  <c r="J192" i="7" s="1"/>
  <c r="I183" i="7"/>
  <c r="J183" i="7" s="1"/>
  <c r="D183" i="7" a="1"/>
  <c r="D183" i="7" s="1"/>
  <c r="D193" i="7" a="1"/>
  <c r="D193" i="7" s="1"/>
  <c r="I181" i="7"/>
  <c r="J181" i="7" s="1"/>
  <c r="D181" i="7" a="1"/>
  <c r="D181" i="7" s="1"/>
  <c r="I201" i="7"/>
  <c r="J201" i="7" s="1"/>
  <c r="D201" i="7" a="1"/>
  <c r="D201" i="7" s="1"/>
  <c r="D150" i="7" a="1"/>
  <c r="D150" i="7" s="1"/>
  <c r="D159" i="7" a="1"/>
  <c r="D159" i="7" s="1"/>
  <c r="J159" i="7"/>
  <c r="D148" i="7" a="1"/>
  <c r="D148" i="7" s="1"/>
  <c r="J148" i="7"/>
  <c r="D144" i="7" a="1"/>
  <c r="D144" i="7" s="1"/>
  <c r="D146" i="7" a="1"/>
  <c r="D146" i="7" s="1"/>
  <c r="D162" i="7" a="1"/>
  <c r="D162" i="7" s="1"/>
  <c r="D145" i="7" a="1"/>
  <c r="D145" i="7" s="1"/>
  <c r="I145" i="7"/>
  <c r="J145" i="7" s="1"/>
  <c r="D151" i="7" a="1"/>
  <c r="D151" i="7" s="1"/>
  <c r="D161" i="7" a="1"/>
  <c r="D161" i="7" s="1"/>
  <c r="I152" i="7"/>
  <c r="J152" i="7" s="1"/>
  <c r="D152" i="7" a="1"/>
  <c r="D152" i="7" s="1"/>
  <c r="D156" i="7" a="1"/>
  <c r="D156" i="7" s="1"/>
  <c r="D61" i="7" a="1"/>
  <c r="D61" i="7" s="1"/>
  <c r="D102" i="7" a="1"/>
  <c r="D102" i="7" s="1"/>
  <c r="D147" i="7" a="1"/>
  <c r="D147" i="7" s="1"/>
  <c r="D153" i="7" a="1"/>
  <c r="D153" i="7" s="1"/>
  <c r="I140" i="7"/>
  <c r="J140" i="7" s="1"/>
  <c r="D140" i="7" a="1"/>
  <c r="D140" i="7" s="1"/>
  <c r="D154" i="7" a="1"/>
  <c r="D154" i="7" s="1"/>
  <c r="D62" i="7" a="1"/>
  <c r="D62" i="7" s="1"/>
  <c r="D103" i="7" a="1"/>
  <c r="D103" i="7" s="1"/>
  <c r="D149" i="7" a="1"/>
  <c r="D149" i="7" s="1"/>
  <c r="D155" i="7" a="1"/>
  <c r="D155" i="7" s="1"/>
  <c r="D142" i="7" a="1"/>
  <c r="D142" i="7" s="1"/>
  <c r="D141" i="7" a="1"/>
  <c r="D141" i="7" s="1"/>
  <c r="D143" i="7" a="1"/>
  <c r="D143" i="7" s="1"/>
  <c r="D160" i="7" a="1"/>
  <c r="D160" i="7" s="1"/>
  <c r="D99" i="7" a="1"/>
  <c r="D99" i="7" s="1"/>
  <c r="I99" i="7"/>
  <c r="J99" i="7" s="1"/>
  <c r="D112" i="7" a="1"/>
  <c r="D112" i="7" s="1"/>
  <c r="D100" i="7" a="1"/>
  <c r="D100" i="7" s="1"/>
  <c r="J107" i="7"/>
  <c r="D107" i="7" a="1"/>
  <c r="D107" i="7" s="1"/>
  <c r="D105" i="7" a="1"/>
  <c r="D105" i="7" s="1"/>
  <c r="D101" i="7" a="1"/>
  <c r="D101" i="7" s="1"/>
  <c r="D113" i="7" a="1"/>
  <c r="D113" i="7" s="1"/>
  <c r="D106" i="7" a="1"/>
  <c r="D106" i="7" s="1"/>
  <c r="J118" i="7"/>
  <c r="D118" i="7" a="1"/>
  <c r="D118" i="7" s="1"/>
  <c r="D109" i="7" a="1"/>
  <c r="D109" i="7" s="1"/>
  <c r="D111" i="7" a="1"/>
  <c r="D111" i="7" s="1"/>
  <c r="I104" i="7"/>
  <c r="J104" i="7" s="1"/>
  <c r="D104" i="7" a="1"/>
  <c r="D104" i="7" s="1"/>
  <c r="D115" i="7" a="1"/>
  <c r="D115" i="7" s="1"/>
  <c r="D108" i="7" a="1"/>
  <c r="D108" i="7" s="1"/>
  <c r="D114" i="7" a="1"/>
  <c r="D114" i="7" s="1"/>
  <c r="D119" i="7" a="1"/>
  <c r="D119" i="7" s="1"/>
  <c r="D110" i="7" a="1"/>
  <c r="D110" i="7" s="1"/>
  <c r="D120" i="7" a="1"/>
  <c r="D120" i="7" s="1"/>
  <c r="D121" i="7" a="1"/>
  <c r="D121" i="7" s="1"/>
  <c r="D64" i="7" a="1"/>
  <c r="D64" i="7" s="1"/>
  <c r="D58" i="7" a="1"/>
  <c r="D58" i="7" s="1"/>
  <c r="I58" i="7"/>
  <c r="J58" i="7" s="1"/>
  <c r="D71" i="7" a="1"/>
  <c r="D71" i="7" s="1"/>
  <c r="I59" i="7"/>
  <c r="J59" i="7" s="1"/>
  <c r="D59" i="7" a="1"/>
  <c r="D59" i="7" s="1"/>
  <c r="J66" i="7"/>
  <c r="D66" i="7" a="1"/>
  <c r="D66" i="7" s="1"/>
  <c r="D70" i="7" a="1"/>
  <c r="D70" i="7" s="1"/>
  <c r="I60" i="7"/>
  <c r="J60" i="7" s="1"/>
  <c r="D60" i="7" a="1"/>
  <c r="D60" i="7" s="1"/>
  <c r="D72" i="7" a="1"/>
  <c r="D72" i="7" s="1"/>
  <c r="D65" i="7" a="1"/>
  <c r="D65" i="7" s="1"/>
  <c r="J77" i="7"/>
  <c r="D77" i="7" a="1"/>
  <c r="D77" i="7" s="1"/>
  <c r="D68" i="7" a="1"/>
  <c r="D68" i="7" s="1"/>
  <c r="D73" i="7" a="1"/>
  <c r="D73" i="7" s="1"/>
  <c r="I63" i="7"/>
  <c r="J63" i="7" s="1"/>
  <c r="D63" i="7" a="1"/>
  <c r="D63" i="7" s="1"/>
  <c r="D74" i="7" a="1"/>
  <c r="D74" i="7" s="1"/>
  <c r="D67" i="7" a="1"/>
  <c r="D67" i="7" s="1"/>
  <c r="D80" i="7" a="1"/>
  <c r="D80" i="7" s="1"/>
  <c r="I78" i="7"/>
  <c r="J78" i="7" s="1"/>
  <c r="D78" i="7" a="1"/>
  <c r="D78" i="7" s="1"/>
  <c r="D69" i="7" a="1"/>
  <c r="D69" i="7" s="1"/>
  <c r="D79" i="7" a="1"/>
  <c r="D79" i="7" s="1"/>
  <c r="K116" i="25"/>
  <c r="I116" i="25"/>
  <c r="B94" i="7" s="1"/>
  <c r="M155" i="25"/>
  <c r="N390" i="25"/>
  <c r="K77" i="25"/>
  <c r="N233" i="25"/>
  <c r="M39" i="25"/>
  <c r="M273" i="25"/>
  <c r="N311" i="25"/>
  <c r="N39" i="25"/>
  <c r="N350" i="25"/>
  <c r="N116" i="25"/>
  <c r="M194" i="25"/>
  <c r="N273" i="25"/>
  <c r="M350" i="25"/>
  <c r="J155" i="25"/>
  <c r="N155" i="25"/>
  <c r="M77" i="25"/>
  <c r="K155" i="25"/>
  <c r="J194" i="25"/>
  <c r="N194" i="25"/>
  <c r="J77" i="25"/>
  <c r="N77" i="25"/>
  <c r="M116" i="25"/>
  <c r="M233" i="25"/>
  <c r="M311" i="25"/>
  <c r="M390" i="25"/>
  <c r="J36" i="7"/>
  <c r="I26" i="7"/>
  <c r="J26" i="7" s="1"/>
  <c r="I20" i="7"/>
  <c r="J20" i="7" s="1"/>
  <c r="I31" i="7"/>
  <c r="J31" i="7" s="1"/>
  <c r="I19" i="7"/>
  <c r="J19" i="7" s="1"/>
  <c r="I38" i="7"/>
  <c r="J38" i="7" s="1"/>
  <c r="I30" i="7"/>
  <c r="J30" i="7" s="1"/>
  <c r="I24" i="7"/>
  <c r="J24" i="7" s="1"/>
  <c r="I28" i="7"/>
  <c r="J28" i="7" s="1"/>
  <c r="I21" i="7"/>
  <c r="J21" i="7" s="1"/>
  <c r="I32" i="7"/>
  <c r="J32" i="7" s="1"/>
  <c r="I27" i="7"/>
  <c r="J27" i="7" s="1"/>
  <c r="I23" i="7"/>
  <c r="J23" i="7" s="1"/>
  <c r="H39" i="7" a="1"/>
  <c r="H39" i="7" s="1"/>
  <c r="I33" i="7"/>
  <c r="J33" i="7" s="1"/>
  <c r="I29" i="7"/>
  <c r="J29" i="7" s="1"/>
  <c r="I22" i="7"/>
  <c r="J22" i="7" s="1"/>
  <c r="B19" i="22"/>
  <c r="B15" i="19" s="1"/>
  <c r="C19" i="22"/>
  <c r="D19" i="22"/>
  <c r="E19" i="22"/>
  <c r="E15" i="19" s="1"/>
  <c r="F19" i="22"/>
  <c r="B20" i="22"/>
  <c r="B16" i="19" s="1"/>
  <c r="C20" i="22"/>
  <c r="D20" i="22"/>
  <c r="E20" i="22"/>
  <c r="E16" i="19" s="1"/>
  <c r="F20" i="22"/>
  <c r="B21" i="22"/>
  <c r="C21" i="22"/>
  <c r="C17" i="19" s="1"/>
  <c r="D21" i="22"/>
  <c r="D17" i="19" s="1"/>
  <c r="E21" i="22"/>
  <c r="E17" i="19" s="1"/>
  <c r="F21" i="22"/>
  <c r="B22" i="22"/>
  <c r="C22" i="22"/>
  <c r="C18" i="19" s="1"/>
  <c r="D22" i="22"/>
  <c r="D18" i="19" s="1"/>
  <c r="E22" i="22"/>
  <c r="E18" i="19" s="1"/>
  <c r="F22" i="22"/>
  <c r="C19" i="19"/>
  <c r="D19" i="19"/>
  <c r="E19" i="19"/>
  <c r="C20" i="19"/>
  <c r="D20" i="19"/>
  <c r="E20" i="19"/>
  <c r="C21" i="19"/>
  <c r="D21" i="19"/>
  <c r="E21" i="19"/>
  <c r="C22" i="19"/>
  <c r="D22" i="19"/>
  <c r="E22" i="19"/>
  <c r="C23" i="19"/>
  <c r="D23" i="19"/>
  <c r="E23" i="19"/>
  <c r="C24" i="19"/>
  <c r="D24" i="19"/>
  <c r="E24" i="19"/>
  <c r="C25" i="19"/>
  <c r="D25" i="19"/>
  <c r="E25" i="19"/>
  <c r="C31" i="19"/>
  <c r="D31" i="19"/>
  <c r="E31" i="19"/>
  <c r="C32" i="19"/>
  <c r="D32" i="19"/>
  <c r="E32" i="19"/>
  <c r="C33" i="19"/>
  <c r="D33" i="19"/>
  <c r="E33" i="19"/>
  <c r="C34" i="19"/>
  <c r="D34" i="19"/>
  <c r="E34" i="19"/>
  <c r="C35" i="19"/>
  <c r="D35" i="19"/>
  <c r="E35" i="19"/>
  <c r="K9" i="24"/>
  <c r="K10" i="24"/>
  <c r="K11" i="24"/>
  <c r="K12" i="24"/>
  <c r="K13" i="24"/>
  <c r="K14" i="24"/>
  <c r="K15" i="24"/>
  <c r="K16" i="24"/>
  <c r="K17" i="24"/>
  <c r="K18" i="24"/>
  <c r="K19" i="24"/>
  <c r="K20" i="24"/>
  <c r="K21" i="24"/>
  <c r="K22" i="24"/>
  <c r="K23" i="24"/>
  <c r="K24" i="24"/>
  <c r="K25" i="24"/>
  <c r="K26" i="24"/>
  <c r="K27" i="24"/>
  <c r="K28" i="24"/>
  <c r="K29" i="24"/>
  <c r="K30" i="24"/>
  <c r="K31" i="24"/>
  <c r="K32" i="24"/>
  <c r="K33" i="24"/>
  <c r="K34" i="24"/>
  <c r="K35" i="24"/>
  <c r="K36" i="24"/>
  <c r="K37" i="24"/>
  <c r="K38" i="24"/>
  <c r="K39" i="24"/>
  <c r="K40" i="24"/>
  <c r="K41" i="24"/>
  <c r="K42" i="24"/>
  <c r="K43" i="24"/>
  <c r="K44" i="24"/>
  <c r="K45" i="24"/>
  <c r="K46" i="24"/>
  <c r="K47" i="24"/>
  <c r="K48" i="24"/>
  <c r="K49" i="24"/>
  <c r="K50" i="24"/>
  <c r="K51" i="24"/>
  <c r="K52" i="24"/>
  <c r="K53" i="24"/>
  <c r="K54" i="24"/>
  <c r="K55" i="24"/>
  <c r="K56" i="24"/>
  <c r="K57" i="24"/>
  <c r="K58" i="24"/>
  <c r="K59" i="24"/>
  <c r="K60" i="24"/>
  <c r="K61" i="24"/>
  <c r="K62" i="24"/>
  <c r="K63" i="24"/>
  <c r="K64" i="24"/>
  <c r="K65" i="24"/>
  <c r="K66" i="24"/>
  <c r="K67" i="24"/>
  <c r="K68" i="24"/>
  <c r="K69" i="24"/>
  <c r="K70" i="24"/>
  <c r="K71" i="24"/>
  <c r="K80" i="24"/>
  <c r="K81" i="24"/>
  <c r="K82" i="24"/>
  <c r="K83" i="24"/>
  <c r="K84" i="24"/>
  <c r="K85" i="24"/>
  <c r="K86" i="24"/>
  <c r="K87" i="24"/>
  <c r="K88" i="24"/>
  <c r="K89" i="24"/>
  <c r="K90" i="24"/>
  <c r="K91" i="24"/>
  <c r="K92" i="24"/>
  <c r="K93" i="24"/>
  <c r="K94" i="24"/>
  <c r="F23" i="19" l="1"/>
  <c r="H23" i="19"/>
  <c r="J23" i="19" s="1"/>
  <c r="M23" i="19" s="1"/>
  <c r="G23" i="19"/>
  <c r="F35" i="19"/>
  <c r="H35" i="19"/>
  <c r="J35" i="19" s="1"/>
  <c r="M35" i="19" s="1"/>
  <c r="G35" i="19"/>
  <c r="F31" i="19"/>
  <c r="H31" i="19"/>
  <c r="J31" i="19" s="1"/>
  <c r="M31" i="19" s="1"/>
  <c r="G31" i="19"/>
  <c r="H22" i="19"/>
  <c r="J22" i="19" s="1"/>
  <c r="M22" i="19" s="1"/>
  <c r="F22" i="19"/>
  <c r="G22" i="19"/>
  <c r="H18" i="19"/>
  <c r="J18" i="19" s="1"/>
  <c r="M18" i="19" s="1"/>
  <c r="F18" i="19"/>
  <c r="G18" i="19"/>
  <c r="F19" i="19"/>
  <c r="H19" i="19"/>
  <c r="J19" i="19" s="1"/>
  <c r="M19" i="19" s="1"/>
  <c r="G19" i="19"/>
  <c r="G34" i="19"/>
  <c r="F34" i="19"/>
  <c r="H34" i="19"/>
  <c r="J34" i="19" s="1"/>
  <c r="M34" i="19" s="1"/>
  <c r="F25" i="19"/>
  <c r="H25" i="19"/>
  <c r="J25" i="19" s="1"/>
  <c r="M25" i="19" s="1"/>
  <c r="G25" i="19"/>
  <c r="F21" i="19"/>
  <c r="H21" i="19"/>
  <c r="J21" i="19" s="1"/>
  <c r="M21" i="19" s="1"/>
  <c r="G21" i="19"/>
  <c r="F17" i="19"/>
  <c r="H17" i="19"/>
  <c r="J17" i="19" s="1"/>
  <c r="M17" i="19" s="1"/>
  <c r="G17" i="19"/>
  <c r="G32" i="19"/>
  <c r="F32" i="19"/>
  <c r="H32" i="19"/>
  <c r="J32" i="19" s="1"/>
  <c r="M32" i="19" s="1"/>
  <c r="F33" i="19"/>
  <c r="H33" i="19"/>
  <c r="J33" i="19" s="1"/>
  <c r="M33" i="19" s="1"/>
  <c r="G33" i="19"/>
  <c r="F24" i="19"/>
  <c r="H24" i="19"/>
  <c r="J24" i="19" s="1"/>
  <c r="M24" i="19" s="1"/>
  <c r="G24" i="19"/>
  <c r="F20" i="19"/>
  <c r="G20" i="19"/>
  <c r="H20" i="19"/>
  <c r="J20" i="19" s="1"/>
  <c r="M20" i="19" s="1"/>
  <c r="I45" i="7"/>
  <c r="J45" i="7" s="1"/>
  <c r="I43" i="7"/>
  <c r="J43" i="7" s="1"/>
  <c r="I44" i="7"/>
  <c r="J44" i="7" s="1"/>
  <c r="I387" i="7"/>
  <c r="J387" i="7"/>
  <c r="I402" i="7"/>
  <c r="J402" i="7" s="1"/>
  <c r="I389" i="7"/>
  <c r="J389" i="7"/>
  <c r="I401" i="7"/>
  <c r="J401" i="7"/>
  <c r="I406" i="7"/>
  <c r="J406" i="7"/>
  <c r="I397" i="7"/>
  <c r="J397" i="7" s="1"/>
  <c r="I392" i="7"/>
  <c r="J392" i="7"/>
  <c r="I395" i="7"/>
  <c r="J395" i="7" s="1"/>
  <c r="I390" i="7"/>
  <c r="J390" i="7"/>
  <c r="I407" i="7"/>
  <c r="J407" i="7" s="1"/>
  <c r="I393" i="7"/>
  <c r="J393" i="7"/>
  <c r="I408" i="7"/>
  <c r="J408" i="7" s="1"/>
  <c r="I399" i="7"/>
  <c r="J399" i="7"/>
  <c r="I400" i="7"/>
  <c r="J400" i="7" s="1"/>
  <c r="I396" i="7"/>
  <c r="J396" i="7"/>
  <c r="I359" i="7"/>
  <c r="J359" i="7" s="1"/>
  <c r="I366" i="7"/>
  <c r="J366" i="7" s="1"/>
  <c r="I360" i="7"/>
  <c r="J360" i="7"/>
  <c r="I357" i="7"/>
  <c r="J357" i="7"/>
  <c r="I367" i="7"/>
  <c r="J367" i="7" s="1"/>
  <c r="I326" i="7"/>
  <c r="J326" i="7" s="1"/>
  <c r="I310" i="7"/>
  <c r="J310" i="7"/>
  <c r="I317" i="7"/>
  <c r="J317" i="7" s="1"/>
  <c r="I318" i="7"/>
  <c r="J318" i="7" s="1"/>
  <c r="I324" i="7"/>
  <c r="J324" i="7"/>
  <c r="I320" i="7"/>
  <c r="J320" i="7"/>
  <c r="I325" i="7"/>
  <c r="J325" i="7" s="1"/>
  <c r="I307" i="7"/>
  <c r="J307" i="7"/>
  <c r="I308" i="7"/>
  <c r="J308" i="7"/>
  <c r="I311" i="7"/>
  <c r="J311" i="7"/>
  <c r="I283" i="7"/>
  <c r="J283" i="7"/>
  <c r="I276" i="7"/>
  <c r="J276" i="7"/>
  <c r="I267" i="7"/>
  <c r="J267" i="7"/>
  <c r="I270" i="7"/>
  <c r="J270" i="7"/>
  <c r="I284" i="7"/>
  <c r="J284" i="7" s="1"/>
  <c r="I279" i="7"/>
  <c r="J279" i="7"/>
  <c r="I266" i="7"/>
  <c r="J266" i="7"/>
  <c r="I285" i="7"/>
  <c r="J285" i="7" s="1"/>
  <c r="I269" i="7"/>
  <c r="J269" i="7"/>
  <c r="I277" i="7"/>
  <c r="J277" i="7" s="1"/>
  <c r="I233" i="7"/>
  <c r="J233" i="7"/>
  <c r="I232" i="7"/>
  <c r="J232" i="7" s="1"/>
  <c r="I226" i="7"/>
  <c r="J226" i="7"/>
  <c r="I243" i="7"/>
  <c r="J243" i="7" s="1"/>
  <c r="I238" i="7"/>
  <c r="J238" i="7"/>
  <c r="I244" i="7"/>
  <c r="J244" i="7" s="1"/>
  <c r="I242" i="7"/>
  <c r="J242" i="7"/>
  <c r="I235" i="7"/>
  <c r="J235" i="7" s="1"/>
  <c r="I236" i="7"/>
  <c r="J236" i="7" s="1"/>
  <c r="I231" i="7"/>
  <c r="J231" i="7"/>
  <c r="I225" i="7"/>
  <c r="J225" i="7"/>
  <c r="I239" i="7"/>
  <c r="J239" i="7"/>
  <c r="I237" i="7"/>
  <c r="J237" i="7"/>
  <c r="I193" i="7"/>
  <c r="J193" i="7"/>
  <c r="I203" i="7"/>
  <c r="J203" i="7" s="1"/>
  <c r="I202" i="7"/>
  <c r="J202" i="7" s="1"/>
  <c r="I196" i="7"/>
  <c r="J196" i="7"/>
  <c r="I185" i="7"/>
  <c r="J185" i="7"/>
  <c r="I195" i="7"/>
  <c r="J195" i="7" s="1"/>
  <c r="I153" i="7"/>
  <c r="J153" i="7"/>
  <c r="I162" i="7"/>
  <c r="J162" i="7" s="1"/>
  <c r="I144" i="7"/>
  <c r="J144" i="7"/>
  <c r="I141" i="7"/>
  <c r="J141" i="7"/>
  <c r="I143" i="7"/>
  <c r="J143" i="7"/>
  <c r="I156" i="7"/>
  <c r="J156" i="7"/>
  <c r="I146" i="7"/>
  <c r="J146" i="7"/>
  <c r="I142" i="7"/>
  <c r="J142" i="7"/>
  <c r="I147" i="7"/>
  <c r="J147" i="7"/>
  <c r="I161" i="7"/>
  <c r="J161" i="7" s="1"/>
  <c r="I150" i="7"/>
  <c r="J150" i="7"/>
  <c r="I157" i="7"/>
  <c r="J157" i="7"/>
  <c r="I149" i="7"/>
  <c r="J149" i="7"/>
  <c r="I160" i="7"/>
  <c r="J160" i="7"/>
  <c r="I155" i="7"/>
  <c r="J155" i="7"/>
  <c r="I154" i="7"/>
  <c r="J154" i="7" s="1"/>
  <c r="I151" i="7"/>
  <c r="J151" i="7" s="1"/>
  <c r="I8" i="25"/>
  <c r="I119" i="7"/>
  <c r="J119" i="7"/>
  <c r="I113" i="7"/>
  <c r="J113" i="7" s="1"/>
  <c r="I111" i="7"/>
  <c r="J111" i="7"/>
  <c r="I100" i="7"/>
  <c r="J100" i="7"/>
  <c r="I121" i="7"/>
  <c r="J121" i="7" s="1"/>
  <c r="I101" i="7"/>
  <c r="J101" i="7"/>
  <c r="I112" i="7"/>
  <c r="J112" i="7"/>
  <c r="I103" i="7"/>
  <c r="J103" i="7"/>
  <c r="I102" i="7"/>
  <c r="J102" i="7"/>
  <c r="I120" i="7"/>
  <c r="J120" i="7" s="1"/>
  <c r="I114" i="7"/>
  <c r="J114" i="7"/>
  <c r="I105" i="7"/>
  <c r="J105" i="7"/>
  <c r="I115" i="7"/>
  <c r="J115" i="7"/>
  <c r="I110" i="7"/>
  <c r="J110" i="7"/>
  <c r="I108" i="7"/>
  <c r="J108" i="7"/>
  <c r="I109" i="7"/>
  <c r="J109" i="7"/>
  <c r="I106" i="7"/>
  <c r="J106" i="7"/>
  <c r="I79" i="7"/>
  <c r="J79" i="7" s="1"/>
  <c r="I80" i="7"/>
  <c r="J80" i="7" s="1"/>
  <c r="I73" i="7"/>
  <c r="J73" i="7"/>
  <c r="I74" i="7"/>
  <c r="J74" i="7"/>
  <c r="I70" i="7"/>
  <c r="J70" i="7"/>
  <c r="I71" i="7"/>
  <c r="J71" i="7" s="1"/>
  <c r="I64" i="7"/>
  <c r="J64" i="7"/>
  <c r="I62" i="7"/>
  <c r="J62" i="7" s="1"/>
  <c r="I61" i="7"/>
  <c r="J61" i="7"/>
  <c r="I72" i="7"/>
  <c r="J72" i="7" s="1"/>
  <c r="I69" i="7"/>
  <c r="J69" i="7"/>
  <c r="I67" i="7"/>
  <c r="J67" i="7" s="1"/>
  <c r="I68" i="7"/>
  <c r="J68" i="7"/>
  <c r="I65" i="7"/>
  <c r="J65" i="7" s="1"/>
  <c r="I34" i="7"/>
  <c r="J34" i="7" s="1"/>
  <c r="I39" i="7"/>
  <c r="J39" i="7" s="1"/>
  <c r="I37" i="7"/>
  <c r="J37" i="7" s="1"/>
  <c r="I208" i="7"/>
  <c r="J208" i="7" s="1"/>
  <c r="I207" i="7"/>
  <c r="J207" i="7" s="1"/>
  <c r="I209" i="7"/>
  <c r="J209" i="7" s="1"/>
  <c r="D18" i="22"/>
  <c r="C18" i="22"/>
  <c r="F18" i="22"/>
  <c r="B18" i="22"/>
  <c r="B14" i="19" s="1"/>
  <c r="E18" i="22"/>
  <c r="E14" i="19" s="1"/>
  <c r="L194" i="25"/>
  <c r="B177" i="7" s="1"/>
  <c r="L116" i="25"/>
  <c r="B95" i="7" s="1"/>
  <c r="L155" i="25"/>
  <c r="B136" i="7" s="1"/>
  <c r="L77" i="25"/>
  <c r="B54" i="7" s="1"/>
  <c r="J390" i="25"/>
  <c r="L390" i="25"/>
  <c r="B382" i="7" s="1"/>
  <c r="J350" i="25"/>
  <c r="L350" i="25"/>
  <c r="B341" i="7" s="1"/>
  <c r="J311" i="25"/>
  <c r="L311" i="25"/>
  <c r="B300" i="7" s="1"/>
  <c r="J273" i="25"/>
  <c r="L273" i="25"/>
  <c r="B259" i="7" s="1"/>
  <c r="J233" i="25"/>
  <c r="L233" i="25"/>
  <c r="B218" i="7" s="1"/>
  <c r="C16" i="22"/>
  <c r="D15" i="22"/>
  <c r="B12" i="19"/>
  <c r="E15" i="22"/>
  <c r="D16" i="22"/>
  <c r="F15" i="22"/>
  <c r="E17" i="22"/>
  <c r="E13" i="19" s="1"/>
  <c r="F16" i="22"/>
  <c r="D17" i="22"/>
  <c r="E16" i="22"/>
  <c r="E12" i="19" s="1"/>
  <c r="C17" i="22"/>
  <c r="C15" i="22"/>
  <c r="F17" i="22"/>
  <c r="B17" i="22"/>
  <c r="B13" i="19" s="1"/>
  <c r="H40" i="7" a="1"/>
  <c r="H40" i="7" s="1"/>
  <c r="H41" i="7" a="1"/>
  <c r="H41" i="7" s="1"/>
  <c r="F50" i="7"/>
  <c r="F8" i="7" s="1"/>
  <c r="I255" i="7" l="1"/>
  <c r="B219" i="7"/>
  <c r="B137" i="7"/>
  <c r="I296" i="7"/>
  <c r="I337" i="7"/>
  <c r="B301" i="7"/>
  <c r="B96" i="7"/>
  <c r="I173" i="7"/>
  <c r="B383" i="7"/>
  <c r="I132" i="7"/>
  <c r="I419" i="7"/>
  <c r="I91" i="7"/>
  <c r="B342" i="7"/>
  <c r="I378" i="7"/>
  <c r="B260" i="7"/>
  <c r="B55" i="7"/>
  <c r="D55" i="7" s="1"/>
  <c r="I214" i="7"/>
  <c r="B178" i="7"/>
  <c r="J130" i="7"/>
  <c r="J132" i="7" s="1"/>
  <c r="J417" i="7"/>
  <c r="J376" i="7"/>
  <c r="J335" i="7"/>
  <c r="J294" i="7"/>
  <c r="J253" i="7"/>
  <c r="J212" i="7"/>
  <c r="J171" i="7"/>
  <c r="J89" i="7"/>
  <c r="D21" i="7" a="1"/>
  <c r="D21" i="7" s="1"/>
  <c r="D32" i="7" a="1"/>
  <c r="D32" i="7" s="1"/>
  <c r="D33" i="7" a="1"/>
  <c r="D33" i="7" s="1"/>
  <c r="D19" i="7" a="1"/>
  <c r="D19" i="7" s="1"/>
  <c r="D23" i="7" a="1"/>
  <c r="D23" i="7" s="1"/>
  <c r="D25" i="7" a="1"/>
  <c r="D25" i="7" s="1"/>
  <c r="D26" i="7" a="1"/>
  <c r="D26" i="7" s="1"/>
  <c r="D36" i="7" a="1"/>
  <c r="D36" i="7" s="1"/>
  <c r="D18" i="7" a="1"/>
  <c r="D18" i="7" s="1"/>
  <c r="D20" i="7" a="1"/>
  <c r="D20" i="7" s="1"/>
  <c r="D22" i="7" a="1"/>
  <c r="D22" i="7" s="1"/>
  <c r="D39" i="7" a="1"/>
  <c r="D39" i="7" s="1"/>
  <c r="D24" i="7" a="1"/>
  <c r="D24" i="7" s="1"/>
  <c r="D38" i="7" a="1"/>
  <c r="D38" i="7" s="1"/>
  <c r="D37" i="7" a="1"/>
  <c r="D37" i="7" s="1"/>
  <c r="D27" i="7" a="1"/>
  <c r="D27" i="7" s="1"/>
  <c r="J91" i="7" l="1"/>
  <c r="K89" i="7" s="1"/>
  <c r="J255" i="7"/>
  <c r="K253" i="7" s="1"/>
  <c r="M255" i="7" s="1"/>
  <c r="J419" i="7"/>
  <c r="K417" i="7" s="1"/>
  <c r="M419" i="7" s="1"/>
  <c r="J173" i="7"/>
  <c r="K171" i="7" s="1"/>
  <c r="M173" i="7" s="1"/>
  <c r="K99" i="7"/>
  <c r="L99" i="7" s="1"/>
  <c r="K125" i="7"/>
  <c r="L125" i="7" s="1"/>
  <c r="K103" i="7"/>
  <c r="L103" i="7" s="1"/>
  <c r="K107" i="7"/>
  <c r="L107" i="7" s="1"/>
  <c r="K110" i="7"/>
  <c r="L110" i="7" s="1"/>
  <c r="K114" i="7"/>
  <c r="L114" i="7" s="1"/>
  <c r="K118" i="7"/>
  <c r="L118" i="7" s="1"/>
  <c r="K127" i="7"/>
  <c r="L127" i="7" s="1"/>
  <c r="K100" i="7"/>
  <c r="L100" i="7" s="1"/>
  <c r="K104" i="7"/>
  <c r="L104" i="7" s="1"/>
  <c r="K111" i="7"/>
  <c r="L111" i="7" s="1"/>
  <c r="K115" i="7"/>
  <c r="L115" i="7" s="1"/>
  <c r="K119" i="7"/>
  <c r="L119" i="7" s="1"/>
  <c r="K101" i="7"/>
  <c r="L101" i="7" s="1"/>
  <c r="K105" i="7"/>
  <c r="L105" i="7" s="1"/>
  <c r="K108" i="7"/>
  <c r="L108" i="7" s="1"/>
  <c r="K112" i="7"/>
  <c r="L112" i="7" s="1"/>
  <c r="K116" i="7"/>
  <c r="L116" i="7" s="1"/>
  <c r="K120" i="7"/>
  <c r="L120" i="7" s="1"/>
  <c r="K126" i="7"/>
  <c r="L126" i="7" s="1"/>
  <c r="K102" i="7"/>
  <c r="L102" i="7" s="1"/>
  <c r="K106" i="7"/>
  <c r="L106" i="7" s="1"/>
  <c r="K109" i="7"/>
  <c r="L109" i="7" s="1"/>
  <c r="K113" i="7"/>
  <c r="L113" i="7" s="1"/>
  <c r="K117" i="7"/>
  <c r="L117" i="7" s="1"/>
  <c r="K121" i="7"/>
  <c r="L121" i="7" s="1"/>
  <c r="K130" i="7"/>
  <c r="M132" i="7" s="1"/>
  <c r="J378" i="7"/>
  <c r="K376" i="7" s="1"/>
  <c r="M378" i="7" s="1"/>
  <c r="J337" i="7"/>
  <c r="K335" i="7" s="1"/>
  <c r="M337" i="7" s="1"/>
  <c r="J296" i="7"/>
  <c r="J214" i="7"/>
  <c r="K39" i="25"/>
  <c r="K8" i="25" s="1"/>
  <c r="K74" i="7" l="1"/>
  <c r="L74" i="7" s="1"/>
  <c r="K78" i="7"/>
  <c r="L78" i="7" s="1"/>
  <c r="K60" i="7"/>
  <c r="L60" i="7" s="1"/>
  <c r="K63" i="7"/>
  <c r="L63" i="7" s="1"/>
  <c r="K71" i="7"/>
  <c r="L71" i="7" s="1"/>
  <c r="K64" i="7"/>
  <c r="L64" i="7" s="1"/>
  <c r="K84" i="7"/>
  <c r="L84" i="7" s="1"/>
  <c r="K80" i="7"/>
  <c r="L80" i="7" s="1"/>
  <c r="K62" i="7"/>
  <c r="L62" i="7" s="1"/>
  <c r="K61" i="7"/>
  <c r="L61" i="7" s="1"/>
  <c r="K73" i="7"/>
  <c r="L73" i="7" s="1"/>
  <c r="K75" i="7"/>
  <c r="L75" i="7" s="1"/>
  <c r="K72" i="7"/>
  <c r="L72" i="7" s="1"/>
  <c r="K65" i="7"/>
  <c r="L65" i="7" s="1"/>
  <c r="K67" i="7"/>
  <c r="L67" i="7" s="1"/>
  <c r="K68" i="7"/>
  <c r="L68" i="7" s="1"/>
  <c r="K86" i="7"/>
  <c r="L86" i="7" s="1"/>
  <c r="K76" i="7"/>
  <c r="L76" i="7" s="1"/>
  <c r="K77" i="7"/>
  <c r="L77" i="7" s="1"/>
  <c r="K58" i="7"/>
  <c r="L58" i="7" s="1"/>
  <c r="K69" i="7"/>
  <c r="L69" i="7" s="1"/>
  <c r="K79" i="7"/>
  <c r="L79" i="7" s="1"/>
  <c r="K70" i="7"/>
  <c r="L70" i="7" s="1"/>
  <c r="K59" i="7"/>
  <c r="L59" i="7" s="1"/>
  <c r="K85" i="7"/>
  <c r="L85" i="7" s="1"/>
  <c r="K66" i="7"/>
  <c r="L66" i="7" s="1"/>
  <c r="K200" i="7"/>
  <c r="L200" i="7" s="1"/>
  <c r="K199" i="7"/>
  <c r="L199" i="7" s="1"/>
  <c r="K198" i="7"/>
  <c r="L198" i="7" s="1"/>
  <c r="K189" i="7"/>
  <c r="L189" i="7" s="1"/>
  <c r="K208" i="7"/>
  <c r="L208" i="7" s="1"/>
  <c r="K209" i="7"/>
  <c r="L209" i="7" s="1"/>
  <c r="K207" i="7"/>
  <c r="L207" i="7" s="1"/>
  <c r="K185" i="7"/>
  <c r="L185" i="7" s="1"/>
  <c r="K194" i="7"/>
  <c r="L194" i="7" s="1"/>
  <c r="K197" i="7"/>
  <c r="L197" i="7" s="1"/>
  <c r="K186" i="7"/>
  <c r="L186" i="7" s="1"/>
  <c r="K196" i="7"/>
  <c r="L196" i="7" s="1"/>
  <c r="K203" i="7"/>
  <c r="L203" i="7" s="1"/>
  <c r="K187" i="7"/>
  <c r="L187" i="7" s="1"/>
  <c r="K190" i="7"/>
  <c r="L190" i="7" s="1"/>
  <c r="K184" i="7"/>
  <c r="L184" i="7" s="1"/>
  <c r="K201" i="7"/>
  <c r="L201" i="7" s="1"/>
  <c r="K191" i="7"/>
  <c r="L191" i="7" s="1"/>
  <c r="K182" i="7"/>
  <c r="L182" i="7" s="1"/>
  <c r="K202" i="7"/>
  <c r="L202" i="7" s="1"/>
  <c r="K183" i="7"/>
  <c r="L183" i="7" s="1"/>
  <c r="K195" i="7"/>
  <c r="L195" i="7" s="1"/>
  <c r="K193" i="7"/>
  <c r="L193" i="7" s="1"/>
  <c r="K188" i="7"/>
  <c r="L188" i="7" s="1"/>
  <c r="K192" i="7"/>
  <c r="L192" i="7" s="1"/>
  <c r="K181" i="7"/>
  <c r="L181" i="7" s="1"/>
  <c r="K212" i="7"/>
  <c r="M214" i="7" s="1"/>
  <c r="K240" i="7"/>
  <c r="L240" i="7" s="1"/>
  <c r="K230" i="7"/>
  <c r="L230" i="7" s="1"/>
  <c r="K241" i="7"/>
  <c r="L241" i="7" s="1"/>
  <c r="K239" i="7"/>
  <c r="L239" i="7" s="1"/>
  <c r="K249" i="7"/>
  <c r="L249" i="7" s="1"/>
  <c r="K248" i="7"/>
  <c r="L248" i="7" s="1"/>
  <c r="K250" i="7"/>
  <c r="L250" i="7" s="1"/>
  <c r="K223" i="7"/>
  <c r="L223" i="7" s="1"/>
  <c r="K244" i="7"/>
  <c r="L244" i="7" s="1"/>
  <c r="K236" i="7"/>
  <c r="L236" i="7" s="1"/>
  <c r="K232" i="7"/>
  <c r="L232" i="7" s="1"/>
  <c r="K226" i="7"/>
  <c r="L226" i="7" s="1"/>
  <c r="K238" i="7"/>
  <c r="L238" i="7" s="1"/>
  <c r="K237" i="7"/>
  <c r="L237" i="7" s="1"/>
  <c r="K235" i="7"/>
  <c r="L235" i="7" s="1"/>
  <c r="K234" i="7"/>
  <c r="L234" i="7" s="1"/>
  <c r="K231" i="7"/>
  <c r="L231" i="7" s="1"/>
  <c r="K227" i="7"/>
  <c r="L227" i="7" s="1"/>
  <c r="K225" i="7"/>
  <c r="L225" i="7" s="1"/>
  <c r="K224" i="7"/>
  <c r="L224" i="7" s="1"/>
  <c r="K233" i="7"/>
  <c r="L233" i="7" s="1"/>
  <c r="K229" i="7"/>
  <c r="L229" i="7" s="1"/>
  <c r="K242" i="7"/>
  <c r="L242" i="7" s="1"/>
  <c r="K228" i="7"/>
  <c r="L228" i="7" s="1"/>
  <c r="K243" i="7"/>
  <c r="L243" i="7" s="1"/>
  <c r="K222" i="7"/>
  <c r="L222" i="7" s="1"/>
  <c r="K414" i="7"/>
  <c r="L414" i="7" s="1"/>
  <c r="K408" i="7"/>
  <c r="L408" i="7" s="1"/>
  <c r="K402" i="7"/>
  <c r="L402" i="7" s="1"/>
  <c r="K395" i="7"/>
  <c r="L395" i="7" s="1"/>
  <c r="K393" i="7"/>
  <c r="L393" i="7" s="1"/>
  <c r="K390" i="7"/>
  <c r="L390" i="7" s="1"/>
  <c r="K387" i="7"/>
  <c r="L387" i="7" s="1"/>
  <c r="K413" i="7"/>
  <c r="L413" i="7" s="1"/>
  <c r="K407" i="7"/>
  <c r="L407" i="7" s="1"/>
  <c r="K404" i="7"/>
  <c r="L404" i="7" s="1"/>
  <c r="K401" i="7"/>
  <c r="L401" i="7" s="1"/>
  <c r="K398" i="7"/>
  <c r="L398" i="7" s="1"/>
  <c r="K392" i="7"/>
  <c r="L392" i="7" s="1"/>
  <c r="K389" i="7"/>
  <c r="L389" i="7" s="1"/>
  <c r="K386" i="7"/>
  <c r="L386" i="7" s="1"/>
  <c r="K403" i="7"/>
  <c r="L403" i="7" s="1"/>
  <c r="K400" i="7"/>
  <c r="L400" i="7" s="1"/>
  <c r="K397" i="7"/>
  <c r="L397" i="7" s="1"/>
  <c r="K388" i="7"/>
  <c r="L388" i="7" s="1"/>
  <c r="K412" i="7"/>
  <c r="L412" i="7" s="1"/>
  <c r="K406" i="7"/>
  <c r="L406" i="7" s="1"/>
  <c r="K399" i="7"/>
  <c r="L399" i="7" s="1"/>
  <c r="K396" i="7"/>
  <c r="L396" i="7" s="1"/>
  <c r="K394" i="7"/>
  <c r="L394" i="7" s="1"/>
  <c r="K391" i="7"/>
  <c r="L391" i="7" s="1"/>
  <c r="K405" i="7"/>
  <c r="L405" i="7" s="1"/>
  <c r="K366" i="7"/>
  <c r="L366" i="7" s="1"/>
  <c r="K363" i="7"/>
  <c r="L363" i="7" s="1"/>
  <c r="K360" i="7"/>
  <c r="L360" i="7" s="1"/>
  <c r="K351" i="7"/>
  <c r="L351" i="7" s="1"/>
  <c r="K348" i="7"/>
  <c r="L348" i="7" s="1"/>
  <c r="K345" i="7"/>
  <c r="L345" i="7" s="1"/>
  <c r="K372" i="7"/>
  <c r="L372" i="7" s="1"/>
  <c r="K365" i="7"/>
  <c r="L365" i="7" s="1"/>
  <c r="K362" i="7"/>
  <c r="L362" i="7" s="1"/>
  <c r="K359" i="7"/>
  <c r="L359" i="7" s="1"/>
  <c r="K356" i="7"/>
  <c r="L356" i="7" s="1"/>
  <c r="K350" i="7"/>
  <c r="L350" i="7" s="1"/>
  <c r="K347" i="7"/>
  <c r="L347" i="7" s="1"/>
  <c r="K371" i="7"/>
  <c r="L371" i="7" s="1"/>
  <c r="K361" i="7"/>
  <c r="L361" i="7" s="1"/>
  <c r="K358" i="7"/>
  <c r="L358" i="7" s="1"/>
  <c r="K355" i="7"/>
  <c r="L355" i="7" s="1"/>
  <c r="K353" i="7"/>
  <c r="L353" i="7" s="1"/>
  <c r="K346" i="7"/>
  <c r="L346" i="7" s="1"/>
  <c r="K373" i="7"/>
  <c r="L373" i="7" s="1"/>
  <c r="K367" i="7"/>
  <c r="L367" i="7" s="1"/>
  <c r="K357" i="7"/>
  <c r="L357" i="7" s="1"/>
  <c r="K354" i="7"/>
  <c r="L354" i="7" s="1"/>
  <c r="K352" i="7"/>
  <c r="L352" i="7" s="1"/>
  <c r="K349" i="7"/>
  <c r="L349" i="7" s="1"/>
  <c r="K364" i="7"/>
  <c r="L364" i="7" s="1"/>
  <c r="K325" i="7"/>
  <c r="L325" i="7" s="1"/>
  <c r="K322" i="7"/>
  <c r="L322" i="7" s="1"/>
  <c r="K319" i="7"/>
  <c r="L319" i="7" s="1"/>
  <c r="K316" i="7"/>
  <c r="L316" i="7" s="1"/>
  <c r="K310" i="7"/>
  <c r="L310" i="7" s="1"/>
  <c r="K307" i="7"/>
  <c r="L307" i="7" s="1"/>
  <c r="K331" i="7"/>
  <c r="L331" i="7" s="1"/>
  <c r="K321" i="7"/>
  <c r="L321" i="7" s="1"/>
  <c r="K318" i="7"/>
  <c r="L318" i="7" s="1"/>
  <c r="K315" i="7"/>
  <c r="L315" i="7" s="1"/>
  <c r="K306" i="7"/>
  <c r="L306" i="7" s="1"/>
  <c r="K304" i="7"/>
  <c r="L304" i="7" s="1"/>
  <c r="K330" i="7"/>
  <c r="L330" i="7" s="1"/>
  <c r="K324" i="7"/>
  <c r="L324" i="7" s="1"/>
  <c r="K317" i="7"/>
  <c r="L317" i="7" s="1"/>
  <c r="K314" i="7"/>
  <c r="L314" i="7" s="1"/>
  <c r="K312" i="7"/>
  <c r="L312" i="7" s="1"/>
  <c r="K309" i="7"/>
  <c r="L309" i="7" s="1"/>
  <c r="K332" i="7"/>
  <c r="L332" i="7" s="1"/>
  <c r="K326" i="7"/>
  <c r="L326" i="7" s="1"/>
  <c r="K320" i="7"/>
  <c r="L320" i="7" s="1"/>
  <c r="K313" i="7"/>
  <c r="L313" i="7" s="1"/>
  <c r="K311" i="7"/>
  <c r="L311" i="7" s="1"/>
  <c r="K308" i="7"/>
  <c r="L308" i="7" s="1"/>
  <c r="K305" i="7"/>
  <c r="L305" i="7" s="1"/>
  <c r="K323" i="7"/>
  <c r="L323" i="7" s="1"/>
  <c r="K290" i="7"/>
  <c r="L290" i="7" s="1"/>
  <c r="K265" i="7"/>
  <c r="L265" i="7" s="1"/>
  <c r="K267" i="7"/>
  <c r="L267" i="7" s="1"/>
  <c r="K273" i="7"/>
  <c r="L273" i="7" s="1"/>
  <c r="K275" i="7"/>
  <c r="L275" i="7" s="1"/>
  <c r="K280" i="7"/>
  <c r="L280" i="7" s="1"/>
  <c r="K263" i="7"/>
  <c r="L263" i="7" s="1"/>
  <c r="K270" i="7"/>
  <c r="L270" i="7" s="1"/>
  <c r="K276" i="7"/>
  <c r="L276" i="7" s="1"/>
  <c r="K278" i="7"/>
  <c r="L278" i="7" s="1"/>
  <c r="K285" i="7"/>
  <c r="L285" i="7" s="1"/>
  <c r="K289" i="7"/>
  <c r="L289" i="7" s="1"/>
  <c r="K266" i="7"/>
  <c r="L266" i="7" s="1"/>
  <c r="K268" i="7"/>
  <c r="L268" i="7" s="1"/>
  <c r="K272" i="7"/>
  <c r="L272" i="7" s="1"/>
  <c r="K274" i="7"/>
  <c r="L274" i="7" s="1"/>
  <c r="K281" i="7"/>
  <c r="L281" i="7" s="1"/>
  <c r="K283" i="7"/>
  <c r="L283" i="7" s="1"/>
  <c r="K291" i="7"/>
  <c r="L291" i="7" s="1"/>
  <c r="K264" i="7"/>
  <c r="L264" i="7" s="1"/>
  <c r="K269" i="7"/>
  <c r="L269" i="7" s="1"/>
  <c r="K271" i="7"/>
  <c r="L271" i="7" s="1"/>
  <c r="K277" i="7"/>
  <c r="L277" i="7" s="1"/>
  <c r="K279" i="7"/>
  <c r="L279" i="7" s="1"/>
  <c r="K284" i="7"/>
  <c r="L284" i="7" s="1"/>
  <c r="K282" i="7"/>
  <c r="L282" i="7" s="1"/>
  <c r="K294" i="7"/>
  <c r="M296" i="7" s="1"/>
  <c r="K160" i="7"/>
  <c r="L160" i="7" s="1"/>
  <c r="K157" i="7"/>
  <c r="L157" i="7" s="1"/>
  <c r="K154" i="7"/>
  <c r="L154" i="7" s="1"/>
  <c r="K151" i="7"/>
  <c r="L151" i="7" s="1"/>
  <c r="K145" i="7"/>
  <c r="L145" i="7" s="1"/>
  <c r="K142" i="7"/>
  <c r="L142" i="7" s="1"/>
  <c r="K159" i="7"/>
  <c r="L159" i="7" s="1"/>
  <c r="K152" i="7"/>
  <c r="L152" i="7" s="1"/>
  <c r="K147" i="7"/>
  <c r="L147" i="7" s="1"/>
  <c r="K158" i="7"/>
  <c r="L158" i="7" s="1"/>
  <c r="K146" i="7"/>
  <c r="L146" i="7" s="1"/>
  <c r="K156" i="7"/>
  <c r="L156" i="7" s="1"/>
  <c r="K153" i="7"/>
  <c r="L153" i="7" s="1"/>
  <c r="K150" i="7"/>
  <c r="L150" i="7" s="1"/>
  <c r="K148" i="7"/>
  <c r="L148" i="7" s="1"/>
  <c r="K141" i="7"/>
  <c r="L141" i="7" s="1"/>
  <c r="K140" i="7"/>
  <c r="L140" i="7" s="1"/>
  <c r="K162" i="7"/>
  <c r="L162" i="7" s="1"/>
  <c r="K149" i="7"/>
  <c r="L149" i="7" s="1"/>
  <c r="K144" i="7"/>
  <c r="L144" i="7" s="1"/>
  <c r="K161" i="7"/>
  <c r="L161" i="7" s="1"/>
  <c r="K143" i="7"/>
  <c r="L143" i="7" s="1"/>
  <c r="K155" i="7"/>
  <c r="L155" i="7" s="1"/>
  <c r="D96" i="7"/>
  <c r="L39" i="25"/>
  <c r="J39" i="25"/>
  <c r="J8" i="25" s="1"/>
  <c r="B13" i="7" l="1"/>
  <c r="L8" i="25"/>
  <c r="L36" i="19"/>
  <c r="K36" i="19"/>
  <c r="I36" i="19"/>
  <c r="C12" i="19"/>
  <c r="D12" i="19"/>
  <c r="C13" i="19"/>
  <c r="D13" i="19"/>
  <c r="C14" i="19"/>
  <c r="D14" i="19"/>
  <c r="C15" i="19"/>
  <c r="D15" i="19"/>
  <c r="C16" i="19"/>
  <c r="D16" i="19"/>
  <c r="G15" i="19" l="1"/>
  <c r="H15" i="19"/>
  <c r="J15" i="19" s="1"/>
  <c r="M15" i="19" s="1"/>
  <c r="F15" i="19"/>
  <c r="G16" i="19"/>
  <c r="H16" i="19"/>
  <c r="J16" i="19" s="1"/>
  <c r="M16" i="19" s="1"/>
  <c r="F16" i="19"/>
  <c r="C4" i="24" l="1"/>
  <c r="C3" i="24"/>
  <c r="A1" i="24"/>
  <c r="A12" i="19" l="1"/>
  <c r="A13" i="19" s="1"/>
  <c r="A14" i="19" s="1"/>
  <c r="A15" i="19" s="1"/>
  <c r="A16" i="19" s="1"/>
  <c r="A17" i="19" l="1"/>
  <c r="A18" i="19" s="1"/>
  <c r="A19" i="19" s="1"/>
  <c r="A20" i="19" s="1"/>
  <c r="A21" i="19" s="1"/>
  <c r="A22" i="19" s="1"/>
  <c r="A23" i="19" s="1"/>
  <c r="A24" i="19" s="1"/>
  <c r="A25" i="19" s="1"/>
  <c r="A26" i="19" s="1"/>
  <c r="A27" i="19" s="1"/>
  <c r="A28" i="19" s="1"/>
  <c r="A29" i="19" s="1"/>
  <c r="A30" i="19" s="1"/>
  <c r="A31" i="19" s="1"/>
  <c r="A32" i="19" s="1"/>
  <c r="A33" i="19" s="1"/>
  <c r="A34" i="19" s="1"/>
  <c r="A35" i="19" s="1"/>
  <c r="A36" i="19" s="1"/>
  <c r="A37" i="19" s="1"/>
  <c r="A38" i="19" s="1"/>
  <c r="A39" i="19" s="1"/>
  <c r="A40" i="19" s="1"/>
  <c r="A41" i="19" s="1"/>
  <c r="A42" i="19" s="1"/>
  <c r="L42" i="19"/>
  <c r="L43" i="19" s="1"/>
  <c r="K42" i="19"/>
  <c r="K43" i="19" s="1"/>
  <c r="I42" i="19"/>
  <c r="I43" i="19" s="1"/>
  <c r="A43" i="19" l="1"/>
  <c r="B37" i="19"/>
  <c r="D11" i="19" l="1"/>
  <c r="C11" i="19"/>
  <c r="C4" i="22" l="1"/>
  <c r="C3" i="22"/>
  <c r="A2" i="22"/>
  <c r="A1" i="22"/>
  <c r="E11" i="19" l="1"/>
  <c r="B38" i="19" l="1"/>
  <c r="E38" i="19"/>
  <c r="D38" i="19"/>
  <c r="I17" i="7" l="1"/>
  <c r="J17" i="7" s="1"/>
  <c r="J48" i="7" l="1"/>
  <c r="J50" i="7" s="1"/>
  <c r="B14" i="7"/>
  <c r="I50" i="7"/>
  <c r="I8" i="7" s="1"/>
  <c r="B9" i="7" s="1"/>
  <c r="F38" i="19" l="1"/>
  <c r="K17" i="7"/>
  <c r="K21" i="7"/>
  <c r="L21" i="7" s="1"/>
  <c r="K25" i="7"/>
  <c r="L25" i="7" s="1"/>
  <c r="K28" i="7"/>
  <c r="L28" i="7" s="1"/>
  <c r="K32" i="7"/>
  <c r="L32" i="7" s="1"/>
  <c r="K36" i="7"/>
  <c r="L36" i="7" s="1"/>
  <c r="K18" i="7"/>
  <c r="L18" i="7" s="1"/>
  <c r="K22" i="7"/>
  <c r="L22" i="7" s="1"/>
  <c r="K29" i="7"/>
  <c r="L29" i="7" s="1"/>
  <c r="K33" i="7"/>
  <c r="L33" i="7" s="1"/>
  <c r="K37" i="7"/>
  <c r="L37" i="7" s="1"/>
  <c r="K19" i="7"/>
  <c r="L19" i="7" s="1"/>
  <c r="K23" i="7"/>
  <c r="L23" i="7" s="1"/>
  <c r="K26" i="7"/>
  <c r="L26" i="7" s="1"/>
  <c r="K30" i="7"/>
  <c r="L30" i="7" s="1"/>
  <c r="K38" i="7"/>
  <c r="L38" i="7" s="1"/>
  <c r="K20" i="7"/>
  <c r="L20" i="7" s="1"/>
  <c r="K24" i="7"/>
  <c r="L24" i="7" s="1"/>
  <c r="K27" i="7"/>
  <c r="L27" i="7" s="1"/>
  <c r="K31" i="7"/>
  <c r="L31" i="7" s="1"/>
  <c r="K35" i="7"/>
  <c r="L35" i="7" s="1"/>
  <c r="K39" i="7"/>
  <c r="L39" i="7" s="1"/>
  <c r="K34" i="7"/>
  <c r="L34" i="7" s="1"/>
  <c r="M91" i="7"/>
  <c r="J8" i="7"/>
  <c r="F13" i="19"/>
  <c r="F12" i="19"/>
  <c r="F14" i="19"/>
  <c r="F11" i="19"/>
  <c r="K167" i="7"/>
  <c r="L167" i="7" s="1"/>
  <c r="K166" i="7"/>
  <c r="L166" i="7" s="1"/>
  <c r="K168" i="7"/>
  <c r="L168" i="7" s="1"/>
  <c r="K43" i="7"/>
  <c r="L43" i="7" s="1"/>
  <c r="K45" i="7"/>
  <c r="L45" i="7" s="1"/>
  <c r="K44" i="7"/>
  <c r="L44" i="7" s="1"/>
  <c r="D14" i="7"/>
  <c r="K48" i="7"/>
  <c r="M50" i="7" s="1"/>
  <c r="F42" i="19" l="1"/>
  <c r="M8" i="7"/>
  <c r="F36" i="19"/>
  <c r="K419" i="7"/>
  <c r="K378" i="7"/>
  <c r="K337" i="7"/>
  <c r="K296" i="7"/>
  <c r="K255" i="7"/>
  <c r="K214" i="7"/>
  <c r="K173" i="7"/>
  <c r="K132" i="7"/>
  <c r="K91" i="7"/>
  <c r="K50" i="7"/>
  <c r="L17" i="7"/>
  <c r="F43" i="19" l="1"/>
  <c r="L419" i="7"/>
  <c r="L378" i="7"/>
  <c r="L337" i="7"/>
  <c r="L296" i="7"/>
  <c r="L255" i="7"/>
  <c r="L214" i="7"/>
  <c r="L173" i="7"/>
  <c r="L132" i="7"/>
  <c r="L91" i="7"/>
  <c r="L50" i="7"/>
  <c r="L8" i="7" l="1"/>
  <c r="M73" i="7"/>
  <c r="N73" i="7" s="1"/>
  <c r="M86" i="7"/>
  <c r="N86" i="7" s="1"/>
  <c r="M74" i="7"/>
  <c r="N74" i="7" s="1"/>
  <c r="M77" i="7"/>
  <c r="N77" i="7" s="1"/>
  <c r="M70" i="7"/>
  <c r="N70" i="7" s="1"/>
  <c r="M71" i="7"/>
  <c r="N71" i="7" s="1"/>
  <c r="M78" i="7"/>
  <c r="N78" i="7" s="1"/>
  <c r="M65" i="7"/>
  <c r="N65" i="7" s="1"/>
  <c r="M76" i="7"/>
  <c r="N76" i="7" s="1"/>
  <c r="M64" i="7"/>
  <c r="N64" i="7" s="1"/>
  <c r="M58" i="7"/>
  <c r="N58" i="7" s="1"/>
  <c r="O58" i="7" s="1"/>
  <c r="M59" i="7"/>
  <c r="N59" i="7" s="1"/>
  <c r="M61" i="7"/>
  <c r="N61" i="7" s="1"/>
  <c r="M75" i="7"/>
  <c r="N75" i="7" s="1"/>
  <c r="M67" i="7"/>
  <c r="N67" i="7" s="1"/>
  <c r="M62" i="7"/>
  <c r="N62" i="7" s="1"/>
  <c r="M69" i="7"/>
  <c r="N69" i="7" s="1"/>
  <c r="M85" i="7"/>
  <c r="N85" i="7" s="1"/>
  <c r="M60" i="7"/>
  <c r="N60" i="7" s="1"/>
  <c r="M84" i="7"/>
  <c r="N84" i="7" s="1"/>
  <c r="M72" i="7"/>
  <c r="N72" i="7" s="1"/>
  <c r="M68" i="7"/>
  <c r="N68" i="7" s="1"/>
  <c r="M80" i="7"/>
  <c r="N80" i="7" s="1"/>
  <c r="M63" i="7"/>
  <c r="N63" i="7" s="1"/>
  <c r="M79" i="7"/>
  <c r="N79" i="7" s="1"/>
  <c r="M66" i="7"/>
  <c r="N66" i="7" s="1"/>
  <c r="M412" i="7"/>
  <c r="N412" i="7" s="1"/>
  <c r="O412" i="7" s="1"/>
  <c r="M413" i="7"/>
  <c r="N413" i="7" s="1"/>
  <c r="O413" i="7" s="1"/>
  <c r="M414" i="7"/>
  <c r="N414" i="7" s="1"/>
  <c r="O414" i="7" s="1"/>
  <c r="M386" i="7"/>
  <c r="N386" i="7" s="1"/>
  <c r="O386" i="7" s="1"/>
  <c r="M387" i="7"/>
  <c r="N387" i="7" s="1"/>
  <c r="O387" i="7" s="1"/>
  <c r="M402" i="7"/>
  <c r="N402" i="7" s="1"/>
  <c r="O402" i="7" s="1"/>
  <c r="M400" i="7"/>
  <c r="N400" i="7" s="1"/>
  <c r="O400" i="7" s="1"/>
  <c r="M392" i="7"/>
  <c r="N392" i="7" s="1"/>
  <c r="O392" i="7" s="1"/>
  <c r="M407" i="7"/>
  <c r="N407" i="7" s="1"/>
  <c r="O407" i="7" s="1"/>
  <c r="M398" i="7"/>
  <c r="N398" i="7" s="1"/>
  <c r="O398" i="7" s="1"/>
  <c r="M394" i="7"/>
  <c r="N394" i="7" s="1"/>
  <c r="O394" i="7" s="1"/>
  <c r="M388" i="7"/>
  <c r="N388" i="7" s="1"/>
  <c r="O388" i="7" s="1"/>
  <c r="M403" i="7"/>
  <c r="N403" i="7" s="1"/>
  <c r="O403" i="7" s="1"/>
  <c r="M390" i="7"/>
  <c r="N390" i="7" s="1"/>
  <c r="O390" i="7" s="1"/>
  <c r="M405" i="7"/>
  <c r="N405" i="7" s="1"/>
  <c r="O405" i="7" s="1"/>
  <c r="M396" i="7"/>
  <c r="N396" i="7" s="1"/>
  <c r="O396" i="7" s="1"/>
  <c r="M391" i="7"/>
  <c r="N391" i="7" s="1"/>
  <c r="O391" i="7" s="1"/>
  <c r="M406" i="7"/>
  <c r="N406" i="7" s="1"/>
  <c r="O406" i="7" s="1"/>
  <c r="M401" i="7"/>
  <c r="N401" i="7" s="1"/>
  <c r="O401" i="7" s="1"/>
  <c r="M393" i="7"/>
  <c r="N393" i="7" s="1"/>
  <c r="O393" i="7" s="1"/>
  <c r="M408" i="7"/>
  <c r="N408" i="7" s="1"/>
  <c r="O408" i="7" s="1"/>
  <c r="M399" i="7"/>
  <c r="N399" i="7" s="1"/>
  <c r="O399" i="7" s="1"/>
  <c r="M397" i="7"/>
  <c r="N397" i="7" s="1"/>
  <c r="O397" i="7" s="1"/>
  <c r="M389" i="7"/>
  <c r="N389" i="7" s="1"/>
  <c r="O389" i="7" s="1"/>
  <c r="M404" i="7"/>
  <c r="N404" i="7" s="1"/>
  <c r="O404" i="7" s="1"/>
  <c r="M395" i="7"/>
  <c r="N395" i="7" s="1"/>
  <c r="O395" i="7" s="1"/>
  <c r="M371" i="7"/>
  <c r="N371" i="7" s="1"/>
  <c r="O371" i="7" s="1"/>
  <c r="M372" i="7"/>
  <c r="N372" i="7" s="1"/>
  <c r="O372" i="7" s="1"/>
  <c r="M373" i="7"/>
  <c r="N373" i="7" s="1"/>
  <c r="O373" i="7" s="1"/>
  <c r="M345" i="7"/>
  <c r="N345" i="7" s="1"/>
  <c r="O345" i="7" s="1"/>
  <c r="M350" i="7"/>
  <c r="N350" i="7" s="1"/>
  <c r="O350" i="7" s="1"/>
  <c r="M351" i="7"/>
  <c r="N351" i="7" s="1"/>
  <c r="O351" i="7" s="1"/>
  <c r="M346" i="7"/>
  <c r="N346" i="7" s="1"/>
  <c r="O346" i="7" s="1"/>
  <c r="M361" i="7"/>
  <c r="N361" i="7" s="1"/>
  <c r="O361" i="7" s="1"/>
  <c r="M348" i="7"/>
  <c r="N348" i="7" s="1"/>
  <c r="O348" i="7" s="1"/>
  <c r="M357" i="7"/>
  <c r="N357" i="7" s="1"/>
  <c r="O357" i="7" s="1"/>
  <c r="M360" i="7"/>
  <c r="N360" i="7" s="1"/>
  <c r="O360" i="7" s="1"/>
  <c r="M356" i="7"/>
  <c r="N356" i="7" s="1"/>
  <c r="O356" i="7" s="1"/>
  <c r="M367" i="7"/>
  <c r="N367" i="7" s="1"/>
  <c r="O367" i="7" s="1"/>
  <c r="M365" i="7"/>
  <c r="N365" i="7" s="1"/>
  <c r="O365" i="7" s="1"/>
  <c r="M366" i="7"/>
  <c r="N366" i="7" s="1"/>
  <c r="O366" i="7" s="1"/>
  <c r="M358" i="7"/>
  <c r="N358" i="7" s="1"/>
  <c r="O358" i="7" s="1"/>
  <c r="M362" i="7"/>
  <c r="N362" i="7" s="1"/>
  <c r="O362" i="7" s="1"/>
  <c r="M354" i="7"/>
  <c r="N354" i="7" s="1"/>
  <c r="O354" i="7" s="1"/>
  <c r="M353" i="7"/>
  <c r="N353" i="7" s="1"/>
  <c r="O353" i="7" s="1"/>
  <c r="M349" i="7"/>
  <c r="N349" i="7" s="1"/>
  <c r="O349" i="7" s="1"/>
  <c r="M364" i="7"/>
  <c r="N364" i="7" s="1"/>
  <c r="O364" i="7" s="1"/>
  <c r="M363" i="7"/>
  <c r="N363" i="7" s="1"/>
  <c r="O363" i="7" s="1"/>
  <c r="M359" i="7"/>
  <c r="N359" i="7" s="1"/>
  <c r="O359" i="7" s="1"/>
  <c r="M355" i="7"/>
  <c r="N355" i="7" s="1"/>
  <c r="O355" i="7" s="1"/>
  <c r="M347" i="7"/>
  <c r="N347" i="7" s="1"/>
  <c r="O347" i="7" s="1"/>
  <c r="M352" i="7"/>
  <c r="N352" i="7" s="1"/>
  <c r="O352" i="7" s="1"/>
  <c r="M330" i="7"/>
  <c r="N330" i="7" s="1"/>
  <c r="O330" i="7" s="1"/>
  <c r="M331" i="7"/>
  <c r="N331" i="7" s="1"/>
  <c r="O331" i="7" s="1"/>
  <c r="M332" i="7"/>
  <c r="N332" i="7" s="1"/>
  <c r="O332" i="7" s="1"/>
  <c r="M304" i="7"/>
  <c r="N304" i="7" s="1"/>
  <c r="O304" i="7" s="1"/>
  <c r="M310" i="7"/>
  <c r="N310" i="7" s="1"/>
  <c r="O310" i="7" s="1"/>
  <c r="M325" i="7"/>
  <c r="N325" i="7" s="1"/>
  <c r="O325" i="7" s="1"/>
  <c r="M316" i="7"/>
  <c r="N316" i="7" s="1"/>
  <c r="O316" i="7" s="1"/>
  <c r="M312" i="7"/>
  <c r="N312" i="7" s="1"/>
  <c r="O312" i="7" s="1"/>
  <c r="M306" i="7"/>
  <c r="N306" i="7" s="1"/>
  <c r="O306" i="7" s="1"/>
  <c r="M321" i="7"/>
  <c r="N321" i="7" s="1"/>
  <c r="O321" i="7" s="1"/>
  <c r="M308" i="7"/>
  <c r="N308" i="7" s="1"/>
  <c r="O308" i="7" s="1"/>
  <c r="M323" i="7"/>
  <c r="N323" i="7" s="1"/>
  <c r="O323" i="7" s="1"/>
  <c r="M314" i="7"/>
  <c r="N314" i="7" s="1"/>
  <c r="O314" i="7" s="1"/>
  <c r="M309" i="7"/>
  <c r="N309" i="7" s="1"/>
  <c r="O309" i="7" s="1"/>
  <c r="M324" i="7"/>
  <c r="N324" i="7" s="1"/>
  <c r="O324" i="7" s="1"/>
  <c r="M319" i="7"/>
  <c r="N319" i="7" s="1"/>
  <c r="O319" i="7" s="1"/>
  <c r="M311" i="7"/>
  <c r="N311" i="7" s="1"/>
  <c r="O311" i="7" s="1"/>
  <c r="M326" i="7"/>
  <c r="N326" i="7" s="1"/>
  <c r="O326" i="7" s="1"/>
  <c r="M317" i="7"/>
  <c r="N317" i="7" s="1"/>
  <c r="O317" i="7" s="1"/>
  <c r="M315" i="7"/>
  <c r="N315" i="7" s="1"/>
  <c r="O315" i="7" s="1"/>
  <c r="M307" i="7"/>
  <c r="N307" i="7" s="1"/>
  <c r="O307" i="7" s="1"/>
  <c r="M322" i="7"/>
  <c r="N322" i="7" s="1"/>
  <c r="O322" i="7" s="1"/>
  <c r="M313" i="7"/>
  <c r="N313" i="7" s="1"/>
  <c r="O313" i="7" s="1"/>
  <c r="M305" i="7"/>
  <c r="N305" i="7" s="1"/>
  <c r="O305" i="7" s="1"/>
  <c r="M320" i="7"/>
  <c r="N320" i="7" s="1"/>
  <c r="O320" i="7" s="1"/>
  <c r="M318" i="7"/>
  <c r="N318" i="7" s="1"/>
  <c r="O318" i="7" s="1"/>
  <c r="M291" i="7"/>
  <c r="N291" i="7" s="1"/>
  <c r="O291" i="7" s="1"/>
  <c r="M289" i="7"/>
  <c r="N289" i="7" s="1"/>
  <c r="O289" i="7" s="1"/>
  <c r="M290" i="7"/>
  <c r="N290" i="7" s="1"/>
  <c r="O290" i="7" s="1"/>
  <c r="M263" i="7"/>
  <c r="N263" i="7" s="1"/>
  <c r="O263" i="7" s="1"/>
  <c r="M267" i="7"/>
  <c r="N267" i="7" s="1"/>
  <c r="O267" i="7" s="1"/>
  <c r="M271" i="7"/>
  <c r="N271" i="7" s="1"/>
  <c r="O271" i="7" s="1"/>
  <c r="M274" i="7"/>
  <c r="N274" i="7" s="1"/>
  <c r="O274" i="7" s="1"/>
  <c r="M278" i="7"/>
  <c r="N278" i="7" s="1"/>
  <c r="O278" i="7" s="1"/>
  <c r="M282" i="7"/>
  <c r="N282" i="7" s="1"/>
  <c r="O282" i="7" s="1"/>
  <c r="M266" i="7"/>
  <c r="N266" i="7" s="1"/>
  <c r="O266" i="7" s="1"/>
  <c r="M270" i="7"/>
  <c r="N270" i="7" s="1"/>
  <c r="O270" i="7" s="1"/>
  <c r="M273" i="7"/>
  <c r="N273" i="7" s="1"/>
  <c r="O273" i="7" s="1"/>
  <c r="M277" i="7"/>
  <c r="N277" i="7" s="1"/>
  <c r="O277" i="7" s="1"/>
  <c r="M281" i="7"/>
  <c r="N281" i="7" s="1"/>
  <c r="O281" i="7" s="1"/>
  <c r="M285" i="7"/>
  <c r="N285" i="7" s="1"/>
  <c r="O285" i="7" s="1"/>
  <c r="M272" i="7"/>
  <c r="N272" i="7" s="1"/>
  <c r="O272" i="7" s="1"/>
  <c r="M268" i="7"/>
  <c r="N268" i="7" s="1"/>
  <c r="O268" i="7" s="1"/>
  <c r="M284" i="7"/>
  <c r="N284" i="7" s="1"/>
  <c r="O284" i="7" s="1"/>
  <c r="M264" i="7"/>
  <c r="N264" i="7" s="1"/>
  <c r="O264" i="7" s="1"/>
  <c r="M280" i="7"/>
  <c r="N280" i="7" s="1"/>
  <c r="O280" i="7" s="1"/>
  <c r="M275" i="7"/>
  <c r="N275" i="7" s="1"/>
  <c r="O275" i="7" s="1"/>
  <c r="M283" i="7"/>
  <c r="N283" i="7" s="1"/>
  <c r="O283" i="7" s="1"/>
  <c r="M269" i="7"/>
  <c r="N269" i="7" s="1"/>
  <c r="O269" i="7" s="1"/>
  <c r="M279" i="7"/>
  <c r="N279" i="7" s="1"/>
  <c r="O279" i="7" s="1"/>
  <c r="M276" i="7"/>
  <c r="N276" i="7" s="1"/>
  <c r="O276" i="7" s="1"/>
  <c r="M265" i="7"/>
  <c r="N265" i="7" s="1"/>
  <c r="O265" i="7" s="1"/>
  <c r="M250" i="7"/>
  <c r="N250" i="7" s="1"/>
  <c r="O250" i="7" s="1"/>
  <c r="M248" i="7"/>
  <c r="N248" i="7" s="1"/>
  <c r="O248" i="7" s="1"/>
  <c r="M249" i="7"/>
  <c r="N249" i="7" s="1"/>
  <c r="O249" i="7" s="1"/>
  <c r="M222" i="7"/>
  <c r="N222" i="7" s="1"/>
  <c r="O222" i="7" s="1"/>
  <c r="M223" i="7"/>
  <c r="N223" i="7" s="1"/>
  <c r="O223" i="7" s="1"/>
  <c r="M227" i="7"/>
  <c r="N227" i="7" s="1"/>
  <c r="O227" i="7" s="1"/>
  <c r="M234" i="7"/>
  <c r="N234" i="7" s="1"/>
  <c r="O234" i="7" s="1"/>
  <c r="M238" i="7"/>
  <c r="N238" i="7" s="1"/>
  <c r="O238" i="7" s="1"/>
  <c r="M242" i="7"/>
  <c r="N242" i="7" s="1"/>
  <c r="O242" i="7" s="1"/>
  <c r="M226" i="7"/>
  <c r="N226" i="7" s="1"/>
  <c r="O226" i="7" s="1"/>
  <c r="M230" i="7"/>
  <c r="N230" i="7" s="1"/>
  <c r="O230" i="7" s="1"/>
  <c r="M233" i="7"/>
  <c r="N233" i="7" s="1"/>
  <c r="O233" i="7" s="1"/>
  <c r="M237" i="7"/>
  <c r="N237" i="7" s="1"/>
  <c r="O237" i="7" s="1"/>
  <c r="M241" i="7"/>
  <c r="N241" i="7" s="1"/>
  <c r="O241" i="7" s="1"/>
  <c r="M231" i="7"/>
  <c r="N231" i="7" s="1"/>
  <c r="O231" i="7" s="1"/>
  <c r="M229" i="7"/>
  <c r="N229" i="7" s="1"/>
  <c r="O229" i="7" s="1"/>
  <c r="M243" i="7"/>
  <c r="N243" i="7" s="1"/>
  <c r="O243" i="7" s="1"/>
  <c r="M225" i="7"/>
  <c r="N225" i="7" s="1"/>
  <c r="O225" i="7" s="1"/>
  <c r="M239" i="7"/>
  <c r="N239" i="7" s="1"/>
  <c r="O239" i="7" s="1"/>
  <c r="M236" i="7"/>
  <c r="N236" i="7" s="1"/>
  <c r="O236" i="7" s="1"/>
  <c r="M244" i="7"/>
  <c r="N244" i="7" s="1"/>
  <c r="O244" i="7" s="1"/>
  <c r="M232" i="7"/>
  <c r="N232" i="7" s="1"/>
  <c r="O232" i="7" s="1"/>
  <c r="M228" i="7"/>
  <c r="N228" i="7" s="1"/>
  <c r="O228" i="7" s="1"/>
  <c r="M240" i="7"/>
  <c r="N240" i="7" s="1"/>
  <c r="O240" i="7" s="1"/>
  <c r="M235" i="7"/>
  <c r="N235" i="7" s="1"/>
  <c r="O235" i="7" s="1"/>
  <c r="M224" i="7"/>
  <c r="N224" i="7" s="1"/>
  <c r="O224" i="7" s="1"/>
  <c r="M207" i="7"/>
  <c r="N207" i="7" s="1"/>
  <c r="O207" i="7" s="1"/>
  <c r="M208" i="7"/>
  <c r="N208" i="7" s="1"/>
  <c r="O208" i="7" s="1"/>
  <c r="M209" i="7"/>
  <c r="N209" i="7" s="1"/>
  <c r="O209" i="7" s="1"/>
  <c r="M181" i="7"/>
  <c r="N181" i="7" s="1"/>
  <c r="O181" i="7" s="1"/>
  <c r="M183" i="7"/>
  <c r="N183" i="7" s="1"/>
  <c r="O183" i="7" s="1"/>
  <c r="M187" i="7"/>
  <c r="N187" i="7" s="1"/>
  <c r="O187" i="7" s="1"/>
  <c r="M182" i="7"/>
  <c r="N182" i="7" s="1"/>
  <c r="O182" i="7" s="1"/>
  <c r="M197" i="7"/>
  <c r="N197" i="7" s="1"/>
  <c r="O197" i="7" s="1"/>
  <c r="M184" i="7"/>
  <c r="N184" i="7" s="1"/>
  <c r="O184" i="7" s="1"/>
  <c r="M193" i="7"/>
  <c r="N193" i="7" s="1"/>
  <c r="O193" i="7" s="1"/>
  <c r="M200" i="7"/>
  <c r="N200" i="7" s="1"/>
  <c r="O200" i="7" s="1"/>
  <c r="M196" i="7"/>
  <c r="N196" i="7" s="1"/>
  <c r="O196" i="7" s="1"/>
  <c r="M192" i="7"/>
  <c r="N192" i="7" s="1"/>
  <c r="O192" i="7" s="1"/>
  <c r="M188" i="7"/>
  <c r="N188" i="7" s="1"/>
  <c r="O188" i="7" s="1"/>
  <c r="M201" i="7"/>
  <c r="N201" i="7" s="1"/>
  <c r="O201" i="7" s="1"/>
  <c r="M202" i="7"/>
  <c r="N202" i="7" s="1"/>
  <c r="O202" i="7" s="1"/>
  <c r="M194" i="7"/>
  <c r="N194" i="7" s="1"/>
  <c r="O194" i="7" s="1"/>
  <c r="M198" i="7"/>
  <c r="N198" i="7" s="1"/>
  <c r="O198" i="7" s="1"/>
  <c r="M190" i="7"/>
  <c r="N190" i="7" s="1"/>
  <c r="O190" i="7" s="1"/>
  <c r="M189" i="7"/>
  <c r="N189" i="7" s="1"/>
  <c r="O189" i="7" s="1"/>
  <c r="M185" i="7"/>
  <c r="N185" i="7" s="1"/>
  <c r="O185" i="7" s="1"/>
  <c r="M199" i="7"/>
  <c r="N199" i="7" s="1"/>
  <c r="O199" i="7" s="1"/>
  <c r="M195" i="7"/>
  <c r="N195" i="7" s="1"/>
  <c r="O195" i="7" s="1"/>
  <c r="M191" i="7"/>
  <c r="N191" i="7" s="1"/>
  <c r="O191" i="7" s="1"/>
  <c r="M186" i="7"/>
  <c r="N186" i="7" s="1"/>
  <c r="O186" i="7" s="1"/>
  <c r="M203" i="7"/>
  <c r="N203" i="7" s="1"/>
  <c r="O203" i="7" s="1"/>
  <c r="M168" i="7"/>
  <c r="N168" i="7" s="1"/>
  <c r="M166" i="7"/>
  <c r="N166" i="7" s="1"/>
  <c r="M167" i="7"/>
  <c r="N167" i="7" s="1"/>
  <c r="M142" i="7"/>
  <c r="N142" i="7" s="1"/>
  <c r="M151" i="7"/>
  <c r="N151" i="7" s="1"/>
  <c r="M150" i="7"/>
  <c r="N150" i="7" s="1"/>
  <c r="M145" i="7"/>
  <c r="N145" i="7" s="1"/>
  <c r="M152" i="7"/>
  <c r="N152" i="7" s="1"/>
  <c r="M158" i="7"/>
  <c r="N158" i="7" s="1"/>
  <c r="M153" i="7"/>
  <c r="N153" i="7" s="1"/>
  <c r="M161" i="7"/>
  <c r="N161" i="7" s="1"/>
  <c r="M141" i="7"/>
  <c r="N141" i="7" s="1"/>
  <c r="M156" i="7"/>
  <c r="N156" i="7" s="1"/>
  <c r="M147" i="7"/>
  <c r="N147" i="7" s="1"/>
  <c r="M146" i="7"/>
  <c r="N146" i="7" s="1"/>
  <c r="M144" i="7"/>
  <c r="N144" i="7" s="1"/>
  <c r="M159" i="7"/>
  <c r="N159" i="7" s="1"/>
  <c r="M143" i="7"/>
  <c r="N143" i="7" s="1"/>
  <c r="M149" i="7"/>
  <c r="N149" i="7" s="1"/>
  <c r="M154" i="7"/>
  <c r="N154" i="7" s="1"/>
  <c r="M148" i="7"/>
  <c r="N148" i="7" s="1"/>
  <c r="M155" i="7"/>
  <c r="N155" i="7" s="1"/>
  <c r="M160" i="7"/>
  <c r="N160" i="7" s="1"/>
  <c r="M157" i="7"/>
  <c r="N157" i="7" s="1"/>
  <c r="M162" i="7"/>
  <c r="N162" i="7" s="1"/>
  <c r="M140" i="7"/>
  <c r="N140" i="7" s="1"/>
  <c r="M125" i="7"/>
  <c r="N125" i="7" s="1"/>
  <c r="O125" i="7" s="1"/>
  <c r="M126" i="7"/>
  <c r="N126" i="7" s="1"/>
  <c r="O126" i="7" s="1"/>
  <c r="M127" i="7"/>
  <c r="N127" i="7" s="1"/>
  <c r="O127" i="7" s="1"/>
  <c r="M99" i="7"/>
  <c r="N99" i="7" s="1"/>
  <c r="O99" i="7" s="1"/>
  <c r="M103" i="7"/>
  <c r="N103" i="7" s="1"/>
  <c r="O103" i="7" s="1"/>
  <c r="M107" i="7"/>
  <c r="N107" i="7" s="1"/>
  <c r="O107" i="7" s="1"/>
  <c r="M110" i="7"/>
  <c r="N110" i="7" s="1"/>
  <c r="O110" i="7" s="1"/>
  <c r="M114" i="7"/>
  <c r="N114" i="7" s="1"/>
  <c r="O114" i="7" s="1"/>
  <c r="M118" i="7"/>
  <c r="N118" i="7" s="1"/>
  <c r="O118" i="7" s="1"/>
  <c r="M102" i="7"/>
  <c r="N102" i="7" s="1"/>
  <c r="O102" i="7" s="1"/>
  <c r="M106" i="7"/>
  <c r="N106" i="7" s="1"/>
  <c r="O106" i="7" s="1"/>
  <c r="M109" i="7"/>
  <c r="N109" i="7" s="1"/>
  <c r="O109" i="7" s="1"/>
  <c r="M113" i="7"/>
  <c r="N113" i="7" s="1"/>
  <c r="O113" i="7" s="1"/>
  <c r="M117" i="7"/>
  <c r="N117" i="7" s="1"/>
  <c r="O117" i="7" s="1"/>
  <c r="M121" i="7"/>
  <c r="N121" i="7" s="1"/>
  <c r="O121" i="7" s="1"/>
  <c r="M108" i="7"/>
  <c r="N108" i="7" s="1"/>
  <c r="O108" i="7" s="1"/>
  <c r="M104" i="7"/>
  <c r="N104" i="7" s="1"/>
  <c r="O104" i="7" s="1"/>
  <c r="M120" i="7"/>
  <c r="N120" i="7" s="1"/>
  <c r="O120" i="7" s="1"/>
  <c r="M100" i="7"/>
  <c r="N100" i="7" s="1"/>
  <c r="O100" i="7" s="1"/>
  <c r="M116" i="7"/>
  <c r="N116" i="7" s="1"/>
  <c r="O116" i="7" s="1"/>
  <c r="M111" i="7"/>
  <c r="N111" i="7" s="1"/>
  <c r="O111" i="7" s="1"/>
  <c r="M119" i="7"/>
  <c r="N119" i="7" s="1"/>
  <c r="O119" i="7" s="1"/>
  <c r="M105" i="7"/>
  <c r="N105" i="7" s="1"/>
  <c r="O105" i="7" s="1"/>
  <c r="M115" i="7"/>
  <c r="N115" i="7" s="1"/>
  <c r="O115" i="7" s="1"/>
  <c r="M112" i="7"/>
  <c r="N112" i="7" s="1"/>
  <c r="O112" i="7" s="1"/>
  <c r="M101" i="7"/>
  <c r="N101" i="7" s="1"/>
  <c r="O101" i="7" s="1"/>
  <c r="M43" i="7"/>
  <c r="N43" i="7" s="1"/>
  <c r="M44" i="7"/>
  <c r="N44" i="7" s="1"/>
  <c r="M45" i="7"/>
  <c r="N45" i="7" s="1"/>
  <c r="M35" i="7"/>
  <c r="N35" i="7" s="1"/>
  <c r="M34" i="7"/>
  <c r="N34" i="7" s="1"/>
  <c r="M17" i="7"/>
  <c r="N17" i="7" s="1"/>
  <c r="O17" i="7" s="1"/>
  <c r="M23" i="7"/>
  <c r="N23" i="7" s="1"/>
  <c r="M38" i="7"/>
  <c r="N38" i="7" s="1"/>
  <c r="M20" i="7"/>
  <c r="N20" i="7" s="1"/>
  <c r="M24" i="7"/>
  <c r="N24" i="7" s="1"/>
  <c r="M19" i="7"/>
  <c r="N19" i="7" s="1"/>
  <c r="M22" i="7"/>
  <c r="N22" i="7" s="1"/>
  <c r="M31" i="7"/>
  <c r="N31" i="7" s="1"/>
  <c r="M30" i="7"/>
  <c r="N30" i="7" s="1"/>
  <c r="M28" i="7"/>
  <c r="N28" i="7" s="1"/>
  <c r="M39" i="7"/>
  <c r="N39" i="7" s="1"/>
  <c r="M27" i="7"/>
  <c r="N27" i="7" s="1"/>
  <c r="M36" i="7"/>
  <c r="N36" i="7" s="1"/>
  <c r="M37" i="7"/>
  <c r="N37" i="7" s="1"/>
  <c r="M21" i="7"/>
  <c r="N21" i="7" s="1"/>
  <c r="M33" i="7"/>
  <c r="N33" i="7" s="1"/>
  <c r="M18" i="7"/>
  <c r="N18" i="7" s="1"/>
  <c r="M29" i="7"/>
  <c r="N29" i="7" s="1"/>
  <c r="M25" i="7"/>
  <c r="N25" i="7" s="1"/>
  <c r="M26" i="7"/>
  <c r="N26" i="7" s="1"/>
  <c r="M32" i="7"/>
  <c r="N32" i="7" s="1"/>
  <c r="O25" i="7" l="1"/>
  <c r="O21" i="7"/>
  <c r="O39" i="7"/>
  <c r="O31" i="7"/>
  <c r="O20" i="7"/>
  <c r="O34" i="7"/>
  <c r="O43" i="7"/>
  <c r="O167" i="7"/>
  <c r="O80" i="7"/>
  <c r="O60" i="7"/>
  <c r="O67" i="7"/>
  <c r="O78" i="7"/>
  <c r="O74" i="7"/>
  <c r="O29" i="7"/>
  <c r="O37" i="7"/>
  <c r="O28" i="7"/>
  <c r="O22" i="7"/>
  <c r="O38" i="7"/>
  <c r="O35" i="7"/>
  <c r="O162" i="7"/>
  <c r="O166" i="7"/>
  <c r="O66" i="7"/>
  <c r="O68" i="7"/>
  <c r="O85" i="7"/>
  <c r="O75" i="7"/>
  <c r="O64" i="7"/>
  <c r="O71" i="7"/>
  <c r="O86" i="7"/>
  <c r="O32" i="7"/>
  <c r="O18" i="7"/>
  <c r="O36" i="7"/>
  <c r="O19" i="7"/>
  <c r="O23" i="7"/>
  <c r="O45" i="7"/>
  <c r="O168" i="7"/>
  <c r="O79" i="7"/>
  <c r="O72" i="7"/>
  <c r="O69" i="7"/>
  <c r="O61" i="7"/>
  <c r="O76" i="7"/>
  <c r="O70" i="7"/>
  <c r="O26" i="7"/>
  <c r="O33" i="7"/>
  <c r="O27" i="7"/>
  <c r="O30" i="7"/>
  <c r="O24" i="7"/>
  <c r="O44" i="7"/>
  <c r="O63" i="7"/>
  <c r="O84" i="7"/>
  <c r="O62" i="7"/>
  <c r="O59" i="7"/>
  <c r="O65" i="7"/>
  <c r="O77" i="7"/>
  <c r="O73" i="7"/>
  <c r="R80" i="7"/>
  <c r="R60" i="7"/>
  <c r="R67" i="7"/>
  <c r="R78" i="7"/>
  <c r="R75" i="7"/>
  <c r="R29" i="7"/>
  <c r="R58" i="7"/>
  <c r="R64" i="7"/>
  <c r="R63" i="7"/>
  <c r="R62" i="7"/>
  <c r="R74" i="7"/>
  <c r="R73" i="7"/>
  <c r="R37" i="7"/>
  <c r="R38" i="7"/>
  <c r="R44" i="7"/>
  <c r="R68" i="7"/>
  <c r="R79" i="7"/>
  <c r="R66" i="7"/>
  <c r="R61" i="7"/>
  <c r="R65" i="7"/>
  <c r="R70" i="7"/>
  <c r="R32" i="7"/>
  <c r="R18" i="7"/>
  <c r="R36" i="7"/>
  <c r="R19" i="7"/>
  <c r="R23" i="7"/>
  <c r="R17" i="7"/>
  <c r="R34" i="7"/>
  <c r="R43" i="7"/>
  <c r="R72" i="7"/>
  <c r="R59" i="7"/>
  <c r="R77" i="7"/>
  <c r="R26" i="7"/>
  <c r="R33" i="7"/>
  <c r="R27" i="7"/>
  <c r="R30" i="7"/>
  <c r="R24" i="7"/>
  <c r="R35" i="7"/>
  <c r="R28" i="7"/>
  <c r="R22" i="7"/>
  <c r="R25" i="7"/>
  <c r="R21" i="7"/>
  <c r="R39" i="7"/>
  <c r="R31" i="7"/>
  <c r="R20" i="7"/>
  <c r="R45" i="7"/>
  <c r="R71" i="7"/>
  <c r="R76" i="7"/>
  <c r="R69" i="7"/>
  <c r="R386" i="7"/>
  <c r="R392" i="7"/>
  <c r="R388" i="7"/>
  <c r="R413" i="7"/>
  <c r="R402" i="7"/>
  <c r="R391" i="7"/>
  <c r="R390" i="7"/>
  <c r="N419" i="7"/>
  <c r="R394" i="7"/>
  <c r="R405" i="7"/>
  <c r="R395" i="7"/>
  <c r="R398" i="7"/>
  <c r="R403" i="7"/>
  <c r="R399" i="7"/>
  <c r="R412" i="7"/>
  <c r="R397" i="7"/>
  <c r="R389" i="7"/>
  <c r="R408" i="7"/>
  <c r="R404" i="7"/>
  <c r="R400" i="7"/>
  <c r="R387" i="7"/>
  <c r="R396" i="7"/>
  <c r="R393" i="7"/>
  <c r="R407" i="7"/>
  <c r="R406" i="7"/>
  <c r="R401" i="7"/>
  <c r="R414" i="7"/>
  <c r="R366" i="7"/>
  <c r="R353" i="7"/>
  <c r="R350" i="7"/>
  <c r="R352" i="7"/>
  <c r="R373" i="7"/>
  <c r="R372" i="7"/>
  <c r="N378" i="7"/>
  <c r="R345" i="7"/>
  <c r="R355" i="7"/>
  <c r="R357" i="7"/>
  <c r="R348" i="7"/>
  <c r="R351" i="7"/>
  <c r="R361" i="7"/>
  <c r="R346" i="7"/>
  <c r="R365" i="7"/>
  <c r="R371" i="7"/>
  <c r="R354" i="7"/>
  <c r="R347" i="7"/>
  <c r="R363" i="7"/>
  <c r="R364" i="7"/>
  <c r="R349" i="7"/>
  <c r="R359" i="7"/>
  <c r="R360" i="7"/>
  <c r="R356" i="7"/>
  <c r="R367" i="7"/>
  <c r="R362" i="7"/>
  <c r="R358" i="7"/>
  <c r="R309" i="7"/>
  <c r="R308" i="7"/>
  <c r="R321" i="7"/>
  <c r="R312" i="7"/>
  <c r="R326" i="7"/>
  <c r="R319" i="7"/>
  <c r="N337" i="7"/>
  <c r="R304" i="7"/>
  <c r="R320" i="7"/>
  <c r="R315" i="7"/>
  <c r="R311" i="7"/>
  <c r="R313" i="7"/>
  <c r="R325" i="7"/>
  <c r="R317" i="7"/>
  <c r="R323" i="7"/>
  <c r="R330" i="7"/>
  <c r="R310" i="7"/>
  <c r="R322" i="7"/>
  <c r="R331" i="7"/>
  <c r="R324" i="7"/>
  <c r="R318" i="7"/>
  <c r="R306" i="7"/>
  <c r="R314" i="7"/>
  <c r="R307" i="7"/>
  <c r="R316" i="7"/>
  <c r="R332" i="7"/>
  <c r="R305" i="7"/>
  <c r="N296" i="7"/>
  <c r="R263" i="7"/>
  <c r="R269" i="7"/>
  <c r="R289" i="7"/>
  <c r="R290" i="7"/>
  <c r="R276" i="7"/>
  <c r="R285" i="7"/>
  <c r="R291" i="7"/>
  <c r="R266" i="7"/>
  <c r="R270" i="7"/>
  <c r="R264" i="7"/>
  <c r="R274" i="7"/>
  <c r="R277" i="7"/>
  <c r="R272" i="7"/>
  <c r="R283" i="7"/>
  <c r="R281" i="7"/>
  <c r="R282" i="7"/>
  <c r="R265" i="7"/>
  <c r="R267" i="7"/>
  <c r="R271" i="7"/>
  <c r="R273" i="7"/>
  <c r="R279" i="7"/>
  <c r="R268" i="7"/>
  <c r="R278" i="7"/>
  <c r="R284" i="7"/>
  <c r="R280" i="7"/>
  <c r="R275" i="7"/>
  <c r="R222" i="7"/>
  <c r="R223" i="7"/>
  <c r="R231" i="7"/>
  <c r="R224" i="7"/>
  <c r="R227" i="7"/>
  <c r="R230" i="7"/>
  <c r="R250" i="7"/>
  <c r="R229" i="7"/>
  <c r="R241" i="7"/>
  <c r="R228" i="7"/>
  <c r="R234" i="7"/>
  <c r="R242" i="7"/>
  <c r="R248" i="7"/>
  <c r="R225" i="7"/>
  <c r="R249" i="7"/>
  <c r="R232" i="7"/>
  <c r="R236" i="7"/>
  <c r="R233" i="7"/>
  <c r="R239" i="7"/>
  <c r="R244" i="7"/>
  <c r="R243" i="7"/>
  <c r="R235" i="7"/>
  <c r="R240" i="7"/>
  <c r="R237" i="7"/>
  <c r="R238" i="7"/>
  <c r="R226" i="7"/>
  <c r="N255" i="7"/>
  <c r="R209" i="7"/>
  <c r="R208" i="7"/>
  <c r="R187" i="7"/>
  <c r="R182" i="7"/>
  <c r="R183" i="7"/>
  <c r="R184" i="7"/>
  <c r="R181" i="7"/>
  <c r="N214" i="7"/>
  <c r="R191" i="7"/>
  <c r="R202" i="7"/>
  <c r="R185" i="7"/>
  <c r="R197" i="7"/>
  <c r="R200" i="7"/>
  <c r="R198" i="7"/>
  <c r="R207" i="7"/>
  <c r="R192" i="7"/>
  <c r="R195" i="7"/>
  <c r="R190" i="7"/>
  <c r="R189" i="7"/>
  <c r="R186" i="7"/>
  <c r="R194" i="7"/>
  <c r="R188" i="7"/>
  <c r="R201" i="7"/>
  <c r="R196" i="7"/>
  <c r="R193" i="7"/>
  <c r="R199" i="7"/>
  <c r="R203" i="7"/>
  <c r="R156" i="7"/>
  <c r="R166" i="7"/>
  <c r="R150" i="7"/>
  <c r="R157" i="7"/>
  <c r="R167" i="7"/>
  <c r="R162" i="7"/>
  <c r="R146" i="7"/>
  <c r="R149" i="7"/>
  <c r="N173" i="7"/>
  <c r="R140" i="7"/>
  <c r="R151" i="7"/>
  <c r="R153" i="7"/>
  <c r="R159" i="7"/>
  <c r="R144" i="7"/>
  <c r="R158" i="7"/>
  <c r="R168" i="7"/>
  <c r="R147" i="7"/>
  <c r="R148" i="7"/>
  <c r="R142" i="7"/>
  <c r="R145" i="7"/>
  <c r="R154" i="7"/>
  <c r="R143" i="7"/>
  <c r="R141" i="7"/>
  <c r="R161" i="7"/>
  <c r="R155" i="7"/>
  <c r="R160" i="7"/>
  <c r="R152" i="7"/>
  <c r="R104" i="7"/>
  <c r="R108" i="7"/>
  <c r="R103" i="7"/>
  <c r="R106" i="7"/>
  <c r="R117" i="7"/>
  <c r="R100" i="7"/>
  <c r="R109" i="7"/>
  <c r="R125" i="7"/>
  <c r="R111" i="7"/>
  <c r="R121" i="7"/>
  <c r="R115" i="7"/>
  <c r="R127" i="7"/>
  <c r="N132" i="7"/>
  <c r="R99" i="7"/>
  <c r="R102" i="7"/>
  <c r="R126" i="7"/>
  <c r="R114" i="7"/>
  <c r="R118" i="7"/>
  <c r="R116" i="7"/>
  <c r="R107" i="7"/>
  <c r="R105" i="7"/>
  <c r="R119" i="7"/>
  <c r="R112" i="7"/>
  <c r="R110" i="7"/>
  <c r="R113" i="7"/>
  <c r="R101" i="7"/>
  <c r="R120" i="7"/>
  <c r="R86" i="7"/>
  <c r="N91" i="7"/>
  <c r="R84" i="7"/>
  <c r="R85" i="7"/>
  <c r="N50" i="7"/>
  <c r="N8" i="7" l="1"/>
  <c r="R419" i="7"/>
  <c r="R378" i="7"/>
  <c r="R337" i="7"/>
  <c r="R296" i="7"/>
  <c r="R255" i="7"/>
  <c r="R214" i="7"/>
  <c r="R173" i="7"/>
  <c r="R132" i="7"/>
  <c r="R91" i="7"/>
  <c r="R50" i="7"/>
  <c r="O214" i="7" l="1"/>
  <c r="O158" i="7"/>
  <c r="O154" i="7"/>
  <c r="O150" i="7"/>
  <c r="O147" i="7"/>
  <c r="O143" i="7"/>
  <c r="O255" i="7"/>
  <c r="O161" i="7"/>
  <c r="O156" i="7"/>
  <c r="O151" i="7"/>
  <c r="O146" i="7"/>
  <c r="O141" i="7"/>
  <c r="O160" i="7"/>
  <c r="O155" i="7"/>
  <c r="O149" i="7"/>
  <c r="O145" i="7"/>
  <c r="O140" i="7"/>
  <c r="O159" i="7"/>
  <c r="O153" i="7"/>
  <c r="O144" i="7"/>
  <c r="O157" i="7"/>
  <c r="O152" i="7"/>
  <c r="O148" i="7"/>
  <c r="O142" i="7"/>
  <c r="P43" i="7"/>
  <c r="O419" i="7"/>
  <c r="O337" i="7"/>
  <c r="O132" i="7"/>
  <c r="O296" i="7"/>
  <c r="O378" i="7"/>
  <c r="O173" i="7"/>
  <c r="O50" i="7"/>
  <c r="O91" i="7"/>
  <c r="R8" i="7"/>
  <c r="O8" i="7" l="1"/>
  <c r="Q402" i="7"/>
  <c r="P402" i="7"/>
  <c r="P399" i="7"/>
  <c r="Q399" i="7"/>
  <c r="P386" i="7"/>
  <c r="Q386" i="7"/>
  <c r="P395" i="7"/>
  <c r="Q395" i="7"/>
  <c r="Q394" i="7"/>
  <c r="P394" i="7"/>
  <c r="P401" i="7"/>
  <c r="Q401" i="7"/>
  <c r="Q392" i="7"/>
  <c r="P392" i="7"/>
  <c r="Q393" i="7"/>
  <c r="P393" i="7"/>
  <c r="P398" i="7"/>
  <c r="Q398" i="7"/>
  <c r="Q391" i="7"/>
  <c r="P391" i="7"/>
  <c r="Q404" i="7"/>
  <c r="P404" i="7"/>
  <c r="P408" i="7"/>
  <c r="Q408" i="7"/>
  <c r="Q389" i="7"/>
  <c r="P389" i="7"/>
  <c r="P407" i="7"/>
  <c r="Q407" i="7"/>
  <c r="Q403" i="7"/>
  <c r="P403" i="7"/>
  <c r="P414" i="7"/>
  <c r="Q414" i="7"/>
  <c r="Q406" i="7"/>
  <c r="P406" i="7"/>
  <c r="Q387" i="7"/>
  <c r="P387" i="7"/>
  <c r="P412" i="7"/>
  <c r="Q412" i="7"/>
  <c r="P390" i="7"/>
  <c r="Q390" i="7"/>
  <c r="Q397" i="7"/>
  <c r="P397" i="7"/>
  <c r="Q400" i="7"/>
  <c r="P400" i="7"/>
  <c r="P388" i="7"/>
  <c r="Q388" i="7"/>
  <c r="Q396" i="7"/>
  <c r="P396" i="7"/>
  <c r="P413" i="7"/>
  <c r="Q413" i="7"/>
  <c r="Q405" i="7"/>
  <c r="P405" i="7"/>
  <c r="Q367" i="7"/>
  <c r="P367" i="7"/>
  <c r="Q348" i="7"/>
  <c r="P348" i="7"/>
  <c r="Q360" i="7"/>
  <c r="P360" i="7"/>
  <c r="Q358" i="7"/>
  <c r="P358" i="7"/>
  <c r="Q371" i="7"/>
  <c r="P371" i="7"/>
  <c r="Q349" i="7"/>
  <c r="P349" i="7"/>
  <c r="Q352" i="7"/>
  <c r="P352" i="7"/>
  <c r="Q356" i="7"/>
  <c r="P356" i="7"/>
  <c r="Q347" i="7"/>
  <c r="P347" i="7"/>
  <c r="Q353" i="7"/>
  <c r="P353" i="7"/>
  <c r="P359" i="7"/>
  <c r="Q359" i="7"/>
  <c r="Q363" i="7"/>
  <c r="P363" i="7"/>
  <c r="Q361" i="7"/>
  <c r="P361" i="7"/>
  <c r="Q351" i="7"/>
  <c r="P351" i="7"/>
  <c r="P362" i="7"/>
  <c r="Q362" i="7"/>
  <c r="Q345" i="7"/>
  <c r="P345" i="7"/>
  <c r="Q366" i="7"/>
  <c r="P366" i="7"/>
  <c r="P354" i="7"/>
  <c r="Q354" i="7"/>
  <c r="Q365" i="7"/>
  <c r="P365" i="7"/>
  <c r="P357" i="7"/>
  <c r="Q357" i="7"/>
  <c r="P346" i="7"/>
  <c r="Q346" i="7"/>
  <c r="P350" i="7"/>
  <c r="Q350" i="7"/>
  <c r="P364" i="7"/>
  <c r="Q364" i="7"/>
  <c r="P372" i="7"/>
  <c r="Q372" i="7"/>
  <c r="P355" i="7"/>
  <c r="Q355" i="7"/>
  <c r="Q373" i="7"/>
  <c r="P373" i="7"/>
  <c r="Q315" i="7"/>
  <c r="P315" i="7"/>
  <c r="Q320" i="7"/>
  <c r="P320" i="7"/>
  <c r="P312" i="7"/>
  <c r="Q312" i="7"/>
  <c r="Q306" i="7"/>
  <c r="P306" i="7"/>
  <c r="Q308" i="7"/>
  <c r="P308" i="7"/>
  <c r="Q316" i="7"/>
  <c r="P316" i="7"/>
  <c r="P330" i="7"/>
  <c r="Q330" i="7"/>
  <c r="P326" i="7"/>
  <c r="Q326" i="7"/>
  <c r="P313" i="7"/>
  <c r="Q313" i="7"/>
  <c r="Q321" i="7"/>
  <c r="P321" i="7"/>
  <c r="P319" i="7"/>
  <c r="Q319" i="7"/>
  <c r="P325" i="7"/>
  <c r="Q325" i="7"/>
  <c r="Q318" i="7"/>
  <c r="P318" i="7"/>
  <c r="P331" i="7"/>
  <c r="Q331" i="7"/>
  <c r="Q310" i="7"/>
  <c r="P310" i="7"/>
  <c r="P304" i="7"/>
  <c r="Q304" i="7"/>
  <c r="Q324" i="7"/>
  <c r="P324" i="7"/>
  <c r="Q314" i="7"/>
  <c r="P314" i="7"/>
  <c r="P332" i="7"/>
  <c r="Q332" i="7"/>
  <c r="P309" i="7"/>
  <c r="Q309" i="7"/>
  <c r="Q311" i="7"/>
  <c r="P311" i="7"/>
  <c r="Q305" i="7"/>
  <c r="P305" i="7"/>
  <c r="P307" i="7"/>
  <c r="Q307" i="7"/>
  <c r="P317" i="7"/>
  <c r="Q317" i="7"/>
  <c r="Q323" i="7"/>
  <c r="P323" i="7"/>
  <c r="Q322" i="7"/>
  <c r="P322" i="7"/>
  <c r="Q269" i="7"/>
  <c r="P269" i="7"/>
  <c r="P272" i="7"/>
  <c r="Q272" i="7"/>
  <c r="Q280" i="7"/>
  <c r="P280" i="7"/>
  <c r="Q268" i="7"/>
  <c r="P268" i="7"/>
  <c r="Q282" i="7"/>
  <c r="P282" i="7"/>
  <c r="P278" i="7"/>
  <c r="Q278" i="7"/>
  <c r="P284" i="7"/>
  <c r="Q284" i="7"/>
  <c r="Q270" i="7"/>
  <c r="P270" i="7"/>
  <c r="Q266" i="7"/>
  <c r="P266" i="7"/>
  <c r="P290" i="7"/>
  <c r="Q290" i="7"/>
  <c r="Q273" i="7"/>
  <c r="P273" i="7"/>
  <c r="P291" i="7"/>
  <c r="Q291" i="7"/>
  <c r="P263" i="7"/>
  <c r="Q263" i="7"/>
  <c r="P267" i="7"/>
  <c r="Q267" i="7"/>
  <c r="Q279" i="7"/>
  <c r="P279" i="7"/>
  <c r="P275" i="7"/>
  <c r="Q275" i="7"/>
  <c r="Q264" i="7"/>
  <c r="P264" i="7"/>
  <c r="P285" i="7"/>
  <c r="Q285" i="7"/>
  <c r="Q271" i="7"/>
  <c r="P271" i="7"/>
  <c r="Q283" i="7"/>
  <c r="P283" i="7"/>
  <c r="Q274" i="7"/>
  <c r="P274" i="7"/>
  <c r="Q277" i="7"/>
  <c r="P277" i="7"/>
  <c r="P276" i="7"/>
  <c r="Q276" i="7"/>
  <c r="Q281" i="7"/>
  <c r="P281" i="7"/>
  <c r="P289" i="7"/>
  <c r="Q289" i="7"/>
  <c r="P265" i="7"/>
  <c r="Q265" i="7"/>
  <c r="Q225" i="7"/>
  <c r="P225" i="7"/>
  <c r="Q229" i="7"/>
  <c r="P229" i="7"/>
  <c r="P248" i="7"/>
  <c r="Q248" i="7"/>
  <c r="Q239" i="7"/>
  <c r="P239" i="7"/>
  <c r="Q230" i="7"/>
  <c r="P230" i="7"/>
  <c r="P224" i="7"/>
  <c r="Q224" i="7"/>
  <c r="Q238" i="7"/>
  <c r="P238" i="7"/>
  <c r="P226" i="7"/>
  <c r="Q226" i="7"/>
  <c r="Q228" i="7"/>
  <c r="P228" i="7"/>
  <c r="Q241" i="7"/>
  <c r="P241" i="7"/>
  <c r="P244" i="7"/>
  <c r="Q244" i="7"/>
  <c r="P237" i="7"/>
  <c r="Q237" i="7"/>
  <c r="P222" i="7"/>
  <c r="Q222" i="7"/>
  <c r="P231" i="7"/>
  <c r="Q231" i="7"/>
  <c r="Q233" i="7"/>
  <c r="P233" i="7"/>
  <c r="Q242" i="7"/>
  <c r="P242" i="7"/>
  <c r="P250" i="7"/>
  <c r="Q250" i="7"/>
  <c r="Q223" i="7"/>
  <c r="P223" i="7"/>
  <c r="Q232" i="7"/>
  <c r="P232" i="7"/>
  <c r="Q236" i="7"/>
  <c r="P236" i="7"/>
  <c r="P234" i="7"/>
  <c r="Q234" i="7"/>
  <c r="P243" i="7"/>
  <c r="Q243" i="7"/>
  <c r="Q227" i="7"/>
  <c r="P227" i="7"/>
  <c r="P235" i="7"/>
  <c r="Q235" i="7"/>
  <c r="Q240" i="7"/>
  <c r="P240" i="7"/>
  <c r="P249" i="7"/>
  <c r="Q249" i="7"/>
  <c r="Q193" i="7"/>
  <c r="P193" i="7"/>
  <c r="P198" i="7"/>
  <c r="Q198" i="7"/>
  <c r="Q201" i="7"/>
  <c r="P201" i="7"/>
  <c r="Q181" i="7"/>
  <c r="P181" i="7"/>
  <c r="P188" i="7"/>
  <c r="Q188" i="7"/>
  <c r="P194" i="7"/>
  <c r="Q194" i="7"/>
  <c r="P190" i="7"/>
  <c r="Q190" i="7"/>
  <c r="P192" i="7"/>
  <c r="Q192" i="7"/>
  <c r="Q196" i="7"/>
  <c r="P196" i="7"/>
  <c r="P183" i="7"/>
  <c r="Q183" i="7"/>
  <c r="P187" i="7"/>
  <c r="Q187" i="7"/>
  <c r="Q202" i="7"/>
  <c r="P202" i="7"/>
  <c r="P208" i="7"/>
  <c r="Q208" i="7"/>
  <c r="P207" i="7"/>
  <c r="Q207" i="7"/>
  <c r="Q189" i="7"/>
  <c r="P189" i="7"/>
  <c r="P209" i="7"/>
  <c r="Q209" i="7"/>
  <c r="P203" i="7"/>
  <c r="Q203" i="7"/>
  <c r="Q182" i="7"/>
  <c r="P182" i="7"/>
  <c r="Q185" i="7"/>
  <c r="P185" i="7"/>
  <c r="Q186" i="7"/>
  <c r="P186" i="7"/>
  <c r="P184" i="7"/>
  <c r="Q184" i="7"/>
  <c r="Q197" i="7"/>
  <c r="P197" i="7"/>
  <c r="Q199" i="7"/>
  <c r="P199" i="7"/>
  <c r="Q191" i="7"/>
  <c r="P191" i="7"/>
  <c r="Q195" i="7"/>
  <c r="P195" i="7"/>
  <c r="Q200" i="7"/>
  <c r="P200" i="7"/>
  <c r="P161" i="7"/>
  <c r="Q161" i="7"/>
  <c r="Q146" i="7"/>
  <c r="P146" i="7"/>
  <c r="Q148" i="7"/>
  <c r="P148" i="7"/>
  <c r="Q150" i="7"/>
  <c r="P150" i="7"/>
  <c r="P162" i="7"/>
  <c r="Q162" i="7"/>
  <c r="P142" i="7"/>
  <c r="Q142" i="7"/>
  <c r="Q147" i="7"/>
  <c r="P147" i="7"/>
  <c r="Q160" i="7"/>
  <c r="P160" i="7"/>
  <c r="P167" i="7"/>
  <c r="Q167" i="7"/>
  <c r="Q145" i="7"/>
  <c r="P145" i="7"/>
  <c r="P155" i="7"/>
  <c r="Q155" i="7"/>
  <c r="Q158" i="7"/>
  <c r="P158" i="7"/>
  <c r="P140" i="7"/>
  <c r="Q140" i="7"/>
  <c r="P152" i="7"/>
  <c r="Q152" i="7"/>
  <c r="Q156" i="7"/>
  <c r="P156" i="7"/>
  <c r="Q143" i="7"/>
  <c r="P143" i="7"/>
  <c r="Q157" i="7"/>
  <c r="P157" i="7"/>
  <c r="P166" i="7"/>
  <c r="Q166" i="7"/>
  <c r="Q141" i="7"/>
  <c r="P141" i="7"/>
  <c r="Q154" i="7"/>
  <c r="P154" i="7"/>
  <c r="Q151" i="7"/>
  <c r="P151" i="7"/>
  <c r="P149" i="7"/>
  <c r="Q149" i="7"/>
  <c r="P153" i="7"/>
  <c r="Q153" i="7"/>
  <c r="P144" i="7"/>
  <c r="Q144" i="7"/>
  <c r="Q159" i="7"/>
  <c r="P159" i="7"/>
  <c r="P168" i="7"/>
  <c r="Q168" i="7"/>
  <c r="P121" i="7"/>
  <c r="Q121" i="7"/>
  <c r="Q111" i="7"/>
  <c r="P111" i="7"/>
  <c r="Q105" i="7"/>
  <c r="P105" i="7"/>
  <c r="Q104" i="7"/>
  <c r="P104" i="7"/>
  <c r="P108" i="7"/>
  <c r="Q108" i="7"/>
  <c r="P126" i="7"/>
  <c r="Q126" i="7"/>
  <c r="P110" i="7"/>
  <c r="Q110" i="7"/>
  <c r="Q120" i="7"/>
  <c r="P120" i="7"/>
  <c r="Q109" i="7"/>
  <c r="P109" i="7"/>
  <c r="P119" i="7"/>
  <c r="Q119" i="7"/>
  <c r="Q107" i="7"/>
  <c r="P107" i="7"/>
  <c r="Q113" i="7"/>
  <c r="P113" i="7"/>
  <c r="Q118" i="7"/>
  <c r="P118" i="7"/>
  <c r="P99" i="7"/>
  <c r="Q99" i="7"/>
  <c r="Q114" i="7"/>
  <c r="P114" i="7"/>
  <c r="P115" i="7"/>
  <c r="Q115" i="7"/>
  <c r="P103" i="7"/>
  <c r="Q103" i="7"/>
  <c r="Q100" i="7"/>
  <c r="P100" i="7"/>
  <c r="P101" i="7"/>
  <c r="Q101" i="7"/>
  <c r="P117" i="7"/>
  <c r="Q117" i="7"/>
  <c r="Q106" i="7"/>
  <c r="P106" i="7"/>
  <c r="P112" i="7"/>
  <c r="Q112" i="7"/>
  <c r="P125" i="7"/>
  <c r="Q125" i="7"/>
  <c r="Q102" i="7"/>
  <c r="P102" i="7"/>
  <c r="P116" i="7"/>
  <c r="Q116" i="7"/>
  <c r="P127" i="7"/>
  <c r="Q127" i="7"/>
  <c r="P80" i="7"/>
  <c r="Q80" i="7"/>
  <c r="Q70" i="7"/>
  <c r="P70" i="7"/>
  <c r="Q64" i="7"/>
  <c r="P64" i="7"/>
  <c r="Q63" i="7"/>
  <c r="P63" i="7"/>
  <c r="P67" i="7"/>
  <c r="Q67" i="7"/>
  <c r="P85" i="7"/>
  <c r="Q85" i="7"/>
  <c r="P69" i="7"/>
  <c r="Q69" i="7"/>
  <c r="Q79" i="7"/>
  <c r="P79" i="7"/>
  <c r="Q68" i="7"/>
  <c r="P68" i="7"/>
  <c r="P78" i="7"/>
  <c r="Q78" i="7"/>
  <c r="Q66" i="7"/>
  <c r="P66" i="7"/>
  <c r="Q72" i="7"/>
  <c r="P72" i="7"/>
  <c r="Q77" i="7"/>
  <c r="P77" i="7"/>
  <c r="P58" i="7"/>
  <c r="Q58" i="7"/>
  <c r="Q73" i="7"/>
  <c r="P73" i="7"/>
  <c r="P74" i="7"/>
  <c r="Q74" i="7"/>
  <c r="P62" i="7"/>
  <c r="Q62" i="7"/>
  <c r="Q59" i="7"/>
  <c r="P59" i="7"/>
  <c r="P60" i="7"/>
  <c r="Q60" i="7"/>
  <c r="P76" i="7"/>
  <c r="Q76" i="7"/>
  <c r="Q65" i="7"/>
  <c r="P65" i="7"/>
  <c r="P71" i="7"/>
  <c r="Q71" i="7"/>
  <c r="P84" i="7"/>
  <c r="Q84" i="7"/>
  <c r="Q61" i="7"/>
  <c r="P61" i="7"/>
  <c r="P75" i="7"/>
  <c r="Q75" i="7"/>
  <c r="P86" i="7"/>
  <c r="Q86" i="7"/>
  <c r="Q43" i="7"/>
  <c r="Q45" i="7"/>
  <c r="P45" i="7"/>
  <c r="P44" i="7"/>
  <c r="Q44" i="7"/>
  <c r="Q34" i="7"/>
  <c r="P34" i="7"/>
  <c r="Q24" i="7"/>
  <c r="P24" i="7"/>
  <c r="Q20" i="7"/>
  <c r="P20" i="7"/>
  <c r="Q33" i="7"/>
  <c r="P33" i="7"/>
  <c r="Q39" i="7"/>
  <c r="P39" i="7"/>
  <c r="Q30" i="7"/>
  <c r="P30" i="7"/>
  <c r="Q35" i="7"/>
  <c r="P35" i="7"/>
  <c r="Q37" i="7"/>
  <c r="P37" i="7"/>
  <c r="Q23" i="7"/>
  <c r="P23" i="7"/>
  <c r="Q25" i="7"/>
  <c r="P25" i="7"/>
  <c r="Q26" i="7"/>
  <c r="P26" i="7"/>
  <c r="Q32" i="7"/>
  <c r="P32" i="7"/>
  <c r="Q19" i="7"/>
  <c r="P19" i="7"/>
  <c r="Q27" i="7"/>
  <c r="P27" i="7"/>
  <c r="Q21" i="7"/>
  <c r="P21" i="7"/>
  <c r="Q36" i="7"/>
  <c r="P36" i="7"/>
  <c r="Q18" i="7"/>
  <c r="P18" i="7"/>
  <c r="Q38" i="7"/>
  <c r="P38" i="7"/>
  <c r="Q28" i="7"/>
  <c r="P28" i="7"/>
  <c r="Q31" i="7"/>
  <c r="P31" i="7"/>
  <c r="Q29" i="7"/>
  <c r="P29" i="7"/>
  <c r="Q22" i="7"/>
  <c r="P22" i="7"/>
  <c r="Q17" i="7"/>
  <c r="P17" i="7"/>
  <c r="Q419" i="7" l="1"/>
  <c r="P419" i="7"/>
  <c r="P378" i="7"/>
  <c r="Q378" i="7"/>
  <c r="Q337" i="7"/>
  <c r="P337" i="7"/>
  <c r="Q296" i="7"/>
  <c r="P296" i="7"/>
  <c r="Q255" i="7"/>
  <c r="P255" i="7"/>
  <c r="Q214" i="7"/>
  <c r="P214" i="7"/>
  <c r="Q173" i="7"/>
  <c r="P173" i="7"/>
  <c r="Q132" i="7"/>
  <c r="P132" i="7"/>
  <c r="Q91" i="7"/>
  <c r="P91" i="7"/>
  <c r="P50" i="7"/>
  <c r="Q50" i="7"/>
  <c r="P8" i="7" l="1"/>
  <c r="Q8" i="7"/>
  <c r="G13" i="19"/>
  <c r="G12" i="19"/>
  <c r="G14" i="19"/>
  <c r="T43" i="7" l="1"/>
  <c r="U43" i="7" s="1"/>
  <c r="G38" i="19" s="1"/>
  <c r="T44" i="7"/>
  <c r="U44" i="7" s="1"/>
  <c r="V44" i="7" s="1"/>
  <c r="T113" i="7"/>
  <c r="U113" i="7" s="1"/>
  <c r="V113" i="7" s="1"/>
  <c r="T150" i="7"/>
  <c r="U150" i="7" s="1"/>
  <c r="V150" i="7" s="1"/>
  <c r="T242" i="7"/>
  <c r="U242" i="7" s="1"/>
  <c r="V242" i="7" s="1"/>
  <c r="T279" i="7"/>
  <c r="U279" i="7" s="1"/>
  <c r="V279" i="7" s="1"/>
  <c r="T314" i="7"/>
  <c r="U314" i="7" s="1"/>
  <c r="V314" i="7" s="1"/>
  <c r="T353" i="7"/>
  <c r="U353" i="7" s="1"/>
  <c r="V353" i="7" s="1"/>
  <c r="T38" i="7"/>
  <c r="U38" i="7" s="1"/>
  <c r="V38" i="7" s="1"/>
  <c r="T34" i="7"/>
  <c r="U34" i="7" s="1"/>
  <c r="V34" i="7" s="1"/>
  <c r="T80" i="7"/>
  <c r="U80" i="7" s="1"/>
  <c r="V80" i="7" s="1"/>
  <c r="T68" i="7"/>
  <c r="U68" i="7" s="1"/>
  <c r="V68" i="7" s="1"/>
  <c r="T104" i="7"/>
  <c r="U104" i="7" s="1"/>
  <c r="V104" i="7" s="1"/>
  <c r="T146" i="7"/>
  <c r="U146" i="7" s="1"/>
  <c r="V146" i="7" s="1"/>
  <c r="T236" i="7"/>
  <c r="U236" i="7" s="1"/>
  <c r="V236" i="7" s="1"/>
  <c r="T274" i="7"/>
  <c r="U274" i="7" s="1"/>
  <c r="V274" i="7" s="1"/>
  <c r="T405" i="7"/>
  <c r="U405" i="7" s="1"/>
  <c r="V405" i="7" s="1"/>
  <c r="T404" i="7"/>
  <c r="U404" i="7" s="1"/>
  <c r="V404" i="7" s="1"/>
  <c r="T36" i="7"/>
  <c r="U36" i="7" s="1"/>
  <c r="V36" i="7" s="1"/>
  <c r="T20" i="7"/>
  <c r="U20" i="7" s="1"/>
  <c r="V20" i="7" s="1"/>
  <c r="T62" i="7"/>
  <c r="U62" i="7" s="1"/>
  <c r="V62" i="7" s="1"/>
  <c r="T115" i="7"/>
  <c r="U115" i="7" s="1"/>
  <c r="V115" i="7" s="1"/>
  <c r="T152" i="7"/>
  <c r="U152" i="7" s="1"/>
  <c r="V152" i="7" s="1"/>
  <c r="T194" i="7"/>
  <c r="U194" i="7" s="1"/>
  <c r="V194" i="7" s="1"/>
  <c r="T226" i="7"/>
  <c r="U226" i="7" s="1"/>
  <c r="V226" i="7" s="1"/>
  <c r="T325" i="7"/>
  <c r="U325" i="7" s="1"/>
  <c r="V325" i="7" s="1"/>
  <c r="T398" i="7"/>
  <c r="U398" i="7" s="1"/>
  <c r="V398" i="7" s="1"/>
  <c r="T79" i="7"/>
  <c r="U79" i="7" s="1"/>
  <c r="V79" i="7" s="1"/>
  <c r="T114" i="7"/>
  <c r="U114" i="7" s="1"/>
  <c r="V114" i="7" s="1"/>
  <c r="T105" i="7"/>
  <c r="U105" i="7" s="1"/>
  <c r="V105" i="7" s="1"/>
  <c r="T157" i="7"/>
  <c r="U157" i="7" s="1"/>
  <c r="V157" i="7" s="1"/>
  <c r="T186" i="7"/>
  <c r="U186" i="7" s="1"/>
  <c r="V186" i="7" s="1"/>
  <c r="T193" i="7"/>
  <c r="U193" i="7" s="1"/>
  <c r="V193" i="7" s="1"/>
  <c r="T233" i="7"/>
  <c r="U233" i="7" s="1"/>
  <c r="V233" i="7" s="1"/>
  <c r="T229" i="7"/>
  <c r="U229" i="7" s="1"/>
  <c r="V229" i="7" s="1"/>
  <c r="T270" i="7"/>
  <c r="U270" i="7" s="1"/>
  <c r="V270" i="7" s="1"/>
  <c r="T311" i="7"/>
  <c r="U311" i="7" s="1"/>
  <c r="V311" i="7" s="1"/>
  <c r="T365" i="7"/>
  <c r="U365" i="7" s="1"/>
  <c r="V365" i="7" s="1"/>
  <c r="T352" i="7"/>
  <c r="U352" i="7" s="1"/>
  <c r="V352" i="7" s="1"/>
  <c r="T397" i="7"/>
  <c r="U397" i="7" s="1"/>
  <c r="V397" i="7" s="1"/>
  <c r="T168" i="7"/>
  <c r="U168" i="7" s="1"/>
  <c r="V168" i="7" s="1"/>
  <c r="T161" i="7"/>
  <c r="U161" i="7" s="1"/>
  <c r="V161" i="7" s="1"/>
  <c r="T235" i="7"/>
  <c r="U235" i="7" s="1"/>
  <c r="V235" i="7" s="1"/>
  <c r="T317" i="7"/>
  <c r="U317" i="7" s="1"/>
  <c r="V317" i="7" s="1"/>
  <c r="T357" i="7"/>
  <c r="U357" i="7" s="1"/>
  <c r="V357" i="7" s="1"/>
  <c r="T18" i="7"/>
  <c r="U18" i="7" s="1"/>
  <c r="V18" i="7" s="1"/>
  <c r="T23" i="7"/>
  <c r="U23" i="7" s="1"/>
  <c r="V23" i="7" s="1"/>
  <c r="T24" i="7"/>
  <c r="U24" i="7" s="1"/>
  <c r="V24" i="7" s="1"/>
  <c r="T74" i="7"/>
  <c r="U74" i="7" s="1"/>
  <c r="V74" i="7" s="1"/>
  <c r="T112" i="7"/>
  <c r="U112" i="7" s="1"/>
  <c r="V112" i="7" s="1"/>
  <c r="T110" i="7"/>
  <c r="U110" i="7" s="1"/>
  <c r="V110" i="7" s="1"/>
  <c r="T155" i="7"/>
  <c r="U155" i="7" s="1"/>
  <c r="V155" i="7" s="1"/>
  <c r="T207" i="7"/>
  <c r="U207" i="7" s="1"/>
  <c r="V207" i="7" s="1"/>
  <c r="T188" i="7"/>
  <c r="U188" i="7" s="1"/>
  <c r="V188" i="7" s="1"/>
  <c r="T248" i="7"/>
  <c r="U248" i="7" s="1"/>
  <c r="V248" i="7" s="1"/>
  <c r="T267" i="7"/>
  <c r="U267" i="7" s="1"/>
  <c r="V267" i="7" s="1"/>
  <c r="T272" i="7"/>
  <c r="U272" i="7" s="1"/>
  <c r="V272" i="7" s="1"/>
  <c r="T313" i="7"/>
  <c r="U313" i="7" s="1"/>
  <c r="V313" i="7" s="1"/>
  <c r="T346" i="7"/>
  <c r="U346" i="7" s="1"/>
  <c r="V346" i="7" s="1"/>
  <c r="T388" i="7"/>
  <c r="U388" i="7" s="1"/>
  <c r="V388" i="7" s="1"/>
  <c r="T408" i="7"/>
  <c r="U408" i="7" s="1"/>
  <c r="V408" i="7" s="1"/>
  <c r="T77" i="7"/>
  <c r="U77" i="7" s="1"/>
  <c r="V77" i="7" s="1"/>
  <c r="T111" i="7"/>
  <c r="U111" i="7" s="1"/>
  <c r="V111" i="7" s="1"/>
  <c r="T185" i="7"/>
  <c r="U185" i="7" s="1"/>
  <c r="V185" i="7" s="1"/>
  <c r="T239" i="7"/>
  <c r="U239" i="7" s="1"/>
  <c r="V239" i="7" s="1"/>
  <c r="T266" i="7"/>
  <c r="U266" i="7" s="1"/>
  <c r="V266" i="7" s="1"/>
  <c r="T316" i="7"/>
  <c r="U316" i="7" s="1"/>
  <c r="V316" i="7" s="1"/>
  <c r="T349" i="7"/>
  <c r="U349" i="7" s="1"/>
  <c r="V349" i="7" s="1"/>
  <c r="T403" i="7"/>
  <c r="U403" i="7" s="1"/>
  <c r="V403" i="7" s="1"/>
  <c r="T27" i="7"/>
  <c r="U27" i="7" s="1"/>
  <c r="V27" i="7" s="1"/>
  <c r="T86" i="7"/>
  <c r="U86" i="7" s="1"/>
  <c r="V86" i="7" s="1"/>
  <c r="T117" i="7"/>
  <c r="U117" i="7" s="1"/>
  <c r="V117" i="7" s="1"/>
  <c r="T64" i="7"/>
  <c r="U64" i="7" s="1"/>
  <c r="V64" i="7" s="1"/>
  <c r="T154" i="7"/>
  <c r="U154" i="7" s="1"/>
  <c r="V154" i="7" s="1"/>
  <c r="T195" i="7"/>
  <c r="U195" i="7" s="1"/>
  <c r="V195" i="7" s="1"/>
  <c r="T223" i="7"/>
  <c r="U223" i="7" s="1"/>
  <c r="V223" i="7" s="1"/>
  <c r="T264" i="7"/>
  <c r="U264" i="7" s="1"/>
  <c r="V264" i="7" s="1"/>
  <c r="T305" i="7"/>
  <c r="U305" i="7" s="1"/>
  <c r="V305" i="7" s="1"/>
  <c r="T363" i="7"/>
  <c r="U363" i="7" s="1"/>
  <c r="V363" i="7" s="1"/>
  <c r="T400" i="7"/>
  <c r="U400" i="7" s="1"/>
  <c r="V400" i="7" s="1"/>
  <c r="T394" i="7"/>
  <c r="U394" i="7" s="1"/>
  <c r="V394" i="7" s="1"/>
  <c r="T32" i="7"/>
  <c r="U32" i="7" s="1"/>
  <c r="V32" i="7" s="1"/>
  <c r="T45" i="7"/>
  <c r="U45" i="7" s="1"/>
  <c r="V45" i="7" s="1"/>
  <c r="T67" i="7"/>
  <c r="U67" i="7" s="1"/>
  <c r="V67" i="7" s="1"/>
  <c r="T119" i="7"/>
  <c r="U119" i="7" s="1"/>
  <c r="V119" i="7" s="1"/>
  <c r="T184" i="7"/>
  <c r="U184" i="7" s="1"/>
  <c r="V184" i="7" s="1"/>
  <c r="T249" i="7"/>
  <c r="U249" i="7" s="1"/>
  <c r="V249" i="7" s="1"/>
  <c r="T289" i="7"/>
  <c r="U289" i="7" s="1"/>
  <c r="V289" i="7" s="1"/>
  <c r="T312" i="7"/>
  <c r="U312" i="7" s="1"/>
  <c r="V312" i="7" s="1"/>
  <c r="T65" i="7"/>
  <c r="U65" i="7" s="1"/>
  <c r="V65" i="7" s="1"/>
  <c r="T63" i="7"/>
  <c r="U63" i="7" s="1"/>
  <c r="V63" i="7" s="1"/>
  <c r="T118" i="7"/>
  <c r="U118" i="7" s="1"/>
  <c r="V118" i="7" s="1"/>
  <c r="T159" i="7"/>
  <c r="U159" i="7" s="1"/>
  <c r="V159" i="7" s="1"/>
  <c r="T156" i="7"/>
  <c r="U156" i="7" s="1"/>
  <c r="V156" i="7" s="1"/>
  <c r="T200" i="7"/>
  <c r="U200" i="7" s="1"/>
  <c r="T182" i="7"/>
  <c r="U182" i="7" s="1"/>
  <c r="V182" i="7" s="1"/>
  <c r="T240" i="7"/>
  <c r="U240" i="7" s="1"/>
  <c r="V240" i="7" s="1"/>
  <c r="T228" i="7"/>
  <c r="U228" i="7" s="1"/>
  <c r="V228" i="7" s="1"/>
  <c r="T281" i="7"/>
  <c r="U281" i="7" s="1"/>
  <c r="V281" i="7" s="1"/>
  <c r="T268" i="7"/>
  <c r="U268" i="7" s="1"/>
  <c r="V268" i="7" s="1"/>
  <c r="T324" i="7"/>
  <c r="U324" i="7" s="1"/>
  <c r="V324" i="7" s="1"/>
  <c r="T306" i="7"/>
  <c r="U306" i="7" s="1"/>
  <c r="V306" i="7" s="1"/>
  <c r="T366" i="7"/>
  <c r="U366" i="7" s="1"/>
  <c r="V366" i="7" s="1"/>
  <c r="T371" i="7"/>
  <c r="U371" i="7" s="1"/>
  <c r="V371" i="7" s="1"/>
  <c r="T387" i="7"/>
  <c r="U387" i="7" s="1"/>
  <c r="V387" i="7" s="1"/>
  <c r="T149" i="7"/>
  <c r="U149" i="7" s="1"/>
  <c r="V149" i="7" s="1"/>
  <c r="T208" i="7"/>
  <c r="U208" i="7" s="1"/>
  <c r="V208" i="7" s="1"/>
  <c r="T237" i="7"/>
  <c r="U237" i="7" s="1"/>
  <c r="V237" i="7" s="1"/>
  <c r="T331" i="7"/>
  <c r="U331" i="7" s="1"/>
  <c r="V331" i="7" s="1"/>
  <c r="T412" i="7"/>
  <c r="U412" i="7" s="1"/>
  <c r="V412" i="7" s="1"/>
  <c r="T21" i="7"/>
  <c r="U21" i="7" s="1"/>
  <c r="V21" i="7" s="1"/>
  <c r="T35" i="7"/>
  <c r="U35" i="7" s="1"/>
  <c r="V35" i="7" s="1"/>
  <c r="T75" i="7"/>
  <c r="U75" i="7" s="1"/>
  <c r="V75" i="7" s="1"/>
  <c r="T78" i="7"/>
  <c r="U78" i="7" s="1"/>
  <c r="V78" i="7" s="1"/>
  <c r="T108" i="7"/>
  <c r="U108" i="7" s="1"/>
  <c r="V108" i="7" s="1"/>
  <c r="T167" i="7"/>
  <c r="U167" i="7" s="1"/>
  <c r="V167" i="7" s="1"/>
  <c r="T183" i="7"/>
  <c r="U183" i="7" s="1"/>
  <c r="V183" i="7" s="1"/>
  <c r="T234" i="7"/>
  <c r="U234" i="7" s="1"/>
  <c r="V234" i="7" s="1"/>
  <c r="T265" i="7"/>
  <c r="U265" i="7" s="1"/>
  <c r="V265" i="7" s="1"/>
  <c r="T291" i="7"/>
  <c r="U291" i="7" s="1"/>
  <c r="V291" i="7" s="1"/>
  <c r="T307" i="7"/>
  <c r="U307" i="7" s="1"/>
  <c r="V307" i="7" s="1"/>
  <c r="T330" i="7"/>
  <c r="U330" i="7" s="1"/>
  <c r="V330" i="7" s="1"/>
  <c r="T362" i="7"/>
  <c r="U362" i="7" s="1"/>
  <c r="V362" i="7" s="1"/>
  <c r="T390" i="7"/>
  <c r="U390" i="7" s="1"/>
  <c r="V390" i="7" s="1"/>
  <c r="T401" i="7"/>
  <c r="U401" i="7" s="1"/>
  <c r="V401" i="7" s="1"/>
  <c r="T66" i="7"/>
  <c r="U66" i="7" s="1"/>
  <c r="V66" i="7" s="1"/>
  <c r="T196" i="7"/>
  <c r="U196" i="7" s="1"/>
  <c r="V196" i="7" s="1"/>
  <c r="T280" i="7"/>
  <c r="U280" i="7" s="1"/>
  <c r="V280" i="7" s="1"/>
  <c r="T348" i="7"/>
  <c r="U348" i="7" s="1"/>
  <c r="V348" i="7" s="1"/>
  <c r="T25" i="7"/>
  <c r="U25" i="7" s="1"/>
  <c r="V25" i="7" s="1"/>
  <c r="T61" i="7"/>
  <c r="U61" i="7" s="1"/>
  <c r="V61" i="7" s="1"/>
  <c r="T143" i="7"/>
  <c r="U143" i="7" s="1"/>
  <c r="V143" i="7" s="1"/>
  <c r="T241" i="7"/>
  <c r="U241" i="7" s="1"/>
  <c r="V241" i="7" s="1"/>
  <c r="T321" i="7"/>
  <c r="U321" i="7" s="1"/>
  <c r="V321" i="7" s="1"/>
  <c r="T406" i="7"/>
  <c r="U406" i="7" s="1"/>
  <c r="V406" i="7" s="1"/>
  <c r="T37" i="7"/>
  <c r="U37" i="7" s="1"/>
  <c r="V37" i="7" s="1"/>
  <c r="T116" i="7"/>
  <c r="U116" i="7" s="1"/>
  <c r="V116" i="7" s="1"/>
  <c r="T203" i="7"/>
  <c r="U203" i="7" s="1"/>
  <c r="V203" i="7" s="1"/>
  <c r="T284" i="7"/>
  <c r="U284" i="7" s="1"/>
  <c r="V284" i="7" s="1"/>
  <c r="T59" i="7"/>
  <c r="U59" i="7" s="1"/>
  <c r="V59" i="7" s="1"/>
  <c r="T107" i="7"/>
  <c r="U107" i="7" s="1"/>
  <c r="V107" i="7" s="1"/>
  <c r="T147" i="7"/>
  <c r="U147" i="7" s="1"/>
  <c r="V147" i="7" s="1"/>
  <c r="T202" i="7"/>
  <c r="U202" i="7" s="1"/>
  <c r="V202" i="7" s="1"/>
  <c r="T238" i="7"/>
  <c r="U238" i="7" s="1"/>
  <c r="V238" i="7" s="1"/>
  <c r="T269" i="7"/>
  <c r="U269" i="7" s="1"/>
  <c r="V269" i="7" s="1"/>
  <c r="T320" i="7"/>
  <c r="U320" i="7" s="1"/>
  <c r="V320" i="7" s="1"/>
  <c r="T360" i="7"/>
  <c r="U360" i="7" s="1"/>
  <c r="V360" i="7" s="1"/>
  <c r="T166" i="7"/>
  <c r="U166" i="7" s="1"/>
  <c r="V166" i="7" s="1"/>
  <c r="T224" i="7"/>
  <c r="U224" i="7" s="1"/>
  <c r="V224" i="7" s="1"/>
  <c r="T29" i="7"/>
  <c r="U29" i="7" s="1"/>
  <c r="V29" i="7" s="1"/>
  <c r="T39" i="7"/>
  <c r="U39" i="7" s="1"/>
  <c r="V39" i="7" s="1"/>
  <c r="T85" i="7"/>
  <c r="U85" i="7" s="1"/>
  <c r="V85" i="7" s="1"/>
  <c r="T121" i="7"/>
  <c r="U121" i="7" s="1"/>
  <c r="V121" i="7" s="1"/>
  <c r="T192" i="7"/>
  <c r="U192" i="7" s="1"/>
  <c r="V192" i="7" s="1"/>
  <c r="T285" i="7"/>
  <c r="U285" i="7" s="1"/>
  <c r="V285" i="7" s="1"/>
  <c r="T332" i="7"/>
  <c r="U332" i="7" s="1"/>
  <c r="V332" i="7" s="1"/>
  <c r="T359" i="7"/>
  <c r="U359" i="7" s="1"/>
  <c r="V359" i="7" s="1"/>
  <c r="T395" i="7"/>
  <c r="U395" i="7" s="1"/>
  <c r="V395" i="7" s="1"/>
  <c r="T158" i="7"/>
  <c r="U158" i="7" s="1"/>
  <c r="V158" i="7" s="1"/>
  <c r="T315" i="7"/>
  <c r="U315" i="7" s="1"/>
  <c r="T392" i="7"/>
  <c r="U392" i="7" s="1"/>
  <c r="V392" i="7" s="1"/>
  <c r="T60" i="7"/>
  <c r="U60" i="7" s="1"/>
  <c r="V60" i="7" s="1"/>
  <c r="T199" i="7"/>
  <c r="U199" i="7" s="1"/>
  <c r="V199" i="7" s="1"/>
  <c r="T356" i="7"/>
  <c r="U356" i="7" s="1"/>
  <c r="V356" i="7" s="1"/>
  <c r="T71" i="7"/>
  <c r="U71" i="7" s="1"/>
  <c r="V71" i="7" s="1"/>
  <c r="T243" i="7"/>
  <c r="U243" i="7" s="1"/>
  <c r="V243" i="7" s="1"/>
  <c r="T70" i="7"/>
  <c r="U70" i="7" s="1"/>
  <c r="V70" i="7" s="1"/>
  <c r="T191" i="7"/>
  <c r="U191" i="7" s="1"/>
  <c r="V191" i="7" s="1"/>
  <c r="T277" i="7"/>
  <c r="U277" i="7" s="1"/>
  <c r="V277" i="7" s="1"/>
  <c r="T361" i="7"/>
  <c r="U361" i="7" s="1"/>
  <c r="V361" i="7" s="1"/>
  <c r="T190" i="7"/>
  <c r="U190" i="7" s="1"/>
  <c r="V190" i="7" s="1"/>
  <c r="T19" i="7"/>
  <c r="U19" i="7" s="1"/>
  <c r="V19" i="7" s="1"/>
  <c r="T101" i="7"/>
  <c r="U101" i="7" s="1"/>
  <c r="V101" i="7" s="1"/>
  <c r="T250" i="7"/>
  <c r="U250" i="7" s="1"/>
  <c r="V250" i="7" s="1"/>
  <c r="T372" i="7"/>
  <c r="U372" i="7" s="1"/>
  <c r="V372" i="7" s="1"/>
  <c r="T271" i="7"/>
  <c r="U271" i="7" s="1"/>
  <c r="V271" i="7" s="1"/>
  <c r="T189" i="7"/>
  <c r="U189" i="7" s="1"/>
  <c r="V189" i="7" s="1"/>
  <c r="T31" i="7"/>
  <c r="U31" i="7" s="1"/>
  <c r="V31" i="7" s="1"/>
  <c r="T144" i="7"/>
  <c r="U144" i="7" s="1"/>
  <c r="V144" i="7" s="1"/>
  <c r="T354" i="7"/>
  <c r="U354" i="7" s="1"/>
  <c r="V354" i="7" s="1"/>
  <c r="T141" i="7"/>
  <c r="U141" i="7" s="1"/>
  <c r="V141" i="7" s="1"/>
  <c r="T232" i="7"/>
  <c r="U232" i="7" s="1"/>
  <c r="V232" i="7" s="1"/>
  <c r="T318" i="7"/>
  <c r="U318" i="7" s="1"/>
  <c r="V318" i="7" s="1"/>
  <c r="T393" i="7"/>
  <c r="U393" i="7" s="1"/>
  <c r="V393" i="7" s="1"/>
  <c r="T355" i="7"/>
  <c r="U355" i="7" s="1"/>
  <c r="V355" i="7" s="1"/>
  <c r="T76" i="7"/>
  <c r="U76" i="7" s="1"/>
  <c r="V76" i="7" s="1"/>
  <c r="T209" i="7"/>
  <c r="U209" i="7" s="1"/>
  <c r="V209" i="7" s="1"/>
  <c r="T244" i="7"/>
  <c r="U244" i="7" s="1"/>
  <c r="V244" i="7" s="1"/>
  <c r="T350" i="7"/>
  <c r="U350" i="7" s="1"/>
  <c r="V350" i="7" s="1"/>
  <c r="T100" i="7"/>
  <c r="U100" i="7" s="1"/>
  <c r="V100" i="7" s="1"/>
  <c r="T181" i="7"/>
  <c r="T322" i="7"/>
  <c r="U322" i="7" s="1"/>
  <c r="V322" i="7" s="1"/>
  <c r="T396" i="7"/>
  <c r="U396" i="7" s="1"/>
  <c r="V396" i="7" s="1"/>
  <c r="T33" i="7"/>
  <c r="U33" i="7" s="1"/>
  <c r="V33" i="7" s="1"/>
  <c r="T73" i="7"/>
  <c r="U73" i="7" s="1"/>
  <c r="V73" i="7" s="1"/>
  <c r="T145" i="7"/>
  <c r="U145" i="7" s="1"/>
  <c r="V145" i="7" s="1"/>
  <c r="T308" i="7"/>
  <c r="U308" i="7" s="1"/>
  <c r="V308" i="7" s="1"/>
  <c r="T389" i="7"/>
  <c r="U389" i="7" s="1"/>
  <c r="V389" i="7" s="1"/>
  <c r="T30" i="7"/>
  <c r="U30" i="7" s="1"/>
  <c r="V30" i="7" s="1"/>
  <c r="T125" i="7"/>
  <c r="U125" i="7" s="1"/>
  <c r="V125" i="7" s="1"/>
  <c r="T187" i="7"/>
  <c r="U187" i="7" s="1"/>
  <c r="V187" i="7" s="1"/>
  <c r="T309" i="7"/>
  <c r="U309" i="7" s="1"/>
  <c r="V309" i="7" s="1"/>
  <c r="T72" i="7"/>
  <c r="U72" i="7" s="1"/>
  <c r="V72" i="7" s="1"/>
  <c r="T109" i="7"/>
  <c r="U109" i="7" s="1"/>
  <c r="V109" i="7" s="1"/>
  <c r="T148" i="7"/>
  <c r="U148" i="7" s="1"/>
  <c r="V148" i="7" s="1"/>
  <c r="T201" i="7"/>
  <c r="U201" i="7" s="1"/>
  <c r="V201" i="7" s="1"/>
  <c r="T230" i="7"/>
  <c r="U230" i="7" s="1"/>
  <c r="V230" i="7" s="1"/>
  <c r="T323" i="7"/>
  <c r="U323" i="7" s="1"/>
  <c r="V323" i="7" s="1"/>
  <c r="T373" i="7"/>
  <c r="U373" i="7" s="1"/>
  <c r="V373" i="7" s="1"/>
  <c r="T367" i="7"/>
  <c r="U367" i="7" s="1"/>
  <c r="V367" i="7" s="1"/>
  <c r="T142" i="7"/>
  <c r="U142" i="7" s="1"/>
  <c r="V142" i="7" s="1"/>
  <c r="T276" i="7"/>
  <c r="U276" i="7" s="1"/>
  <c r="V276" i="7" s="1"/>
  <c r="T28" i="7"/>
  <c r="U28" i="7" s="1"/>
  <c r="V28" i="7" s="1"/>
  <c r="T127" i="7"/>
  <c r="U127" i="7" s="1"/>
  <c r="V127" i="7" s="1"/>
  <c r="T153" i="7"/>
  <c r="U153" i="7" s="1"/>
  <c r="V153" i="7" s="1"/>
  <c r="T275" i="7"/>
  <c r="U275" i="7" s="1"/>
  <c r="V275" i="7" s="1"/>
  <c r="T319" i="7"/>
  <c r="U319" i="7" s="1"/>
  <c r="V319" i="7" s="1"/>
  <c r="T413" i="7"/>
  <c r="U413" i="7" s="1"/>
  <c r="V413" i="7" s="1"/>
  <c r="T399" i="7"/>
  <c r="U399" i="7" s="1"/>
  <c r="V399" i="7" s="1"/>
  <c r="T225" i="7"/>
  <c r="U225" i="7" s="1"/>
  <c r="V225" i="7" s="1"/>
  <c r="T106" i="7"/>
  <c r="U106" i="7" s="1"/>
  <c r="V106" i="7" s="1"/>
  <c r="T273" i="7"/>
  <c r="U273" i="7" s="1"/>
  <c r="V273" i="7" s="1"/>
  <c r="T402" i="7"/>
  <c r="U402" i="7" s="1"/>
  <c r="V402" i="7" s="1"/>
  <c r="T126" i="7"/>
  <c r="U126" i="7" s="1"/>
  <c r="V126" i="7" s="1"/>
  <c r="T364" i="7"/>
  <c r="U364" i="7" s="1"/>
  <c r="V364" i="7" s="1"/>
  <c r="T151" i="7"/>
  <c r="U151" i="7" s="1"/>
  <c r="V151" i="7" s="1"/>
  <c r="T227" i="7"/>
  <c r="U227" i="7" s="1"/>
  <c r="V227" i="7" s="1"/>
  <c r="T310" i="7"/>
  <c r="U310" i="7" s="1"/>
  <c r="V310" i="7" s="1"/>
  <c r="T391" i="7"/>
  <c r="U391" i="7" s="1"/>
  <c r="V391" i="7" s="1"/>
  <c r="T326" i="7"/>
  <c r="U326" i="7" s="1"/>
  <c r="V326" i="7" s="1"/>
  <c r="T84" i="7"/>
  <c r="U84" i="7" s="1"/>
  <c r="V84" i="7" s="1"/>
  <c r="T162" i="7"/>
  <c r="U162" i="7" s="1"/>
  <c r="V162" i="7" s="1"/>
  <c r="T290" i="7"/>
  <c r="U290" i="7" s="1"/>
  <c r="V290" i="7" s="1"/>
  <c r="T414" i="7"/>
  <c r="U414" i="7" s="1"/>
  <c r="V414" i="7" s="1"/>
  <c r="T160" i="7"/>
  <c r="U160" i="7" s="1"/>
  <c r="V160" i="7" s="1"/>
  <c r="T351" i="7"/>
  <c r="U351" i="7" s="1"/>
  <c r="V351" i="7" s="1"/>
  <c r="T22" i="7"/>
  <c r="U22" i="7" s="1"/>
  <c r="V22" i="7" s="1"/>
  <c r="T69" i="7"/>
  <c r="U69" i="7" s="1"/>
  <c r="V69" i="7" s="1"/>
  <c r="T120" i="7"/>
  <c r="U120" i="7" s="1"/>
  <c r="V120" i="7" s="1"/>
  <c r="T282" i="7"/>
  <c r="U282" i="7" s="1"/>
  <c r="V282" i="7" s="1"/>
  <c r="T358" i="7"/>
  <c r="U358" i="7" s="1"/>
  <c r="V358" i="7" s="1"/>
  <c r="T231" i="7"/>
  <c r="U231" i="7" s="1"/>
  <c r="V231" i="7" s="1"/>
  <c r="T102" i="7"/>
  <c r="U102" i="7" s="1"/>
  <c r="V102" i="7" s="1"/>
  <c r="T197" i="7"/>
  <c r="U197" i="7" s="1"/>
  <c r="V197" i="7" s="1"/>
  <c r="T283" i="7"/>
  <c r="U283" i="7" s="1"/>
  <c r="V283" i="7" s="1"/>
  <c r="T347" i="7"/>
  <c r="U347" i="7" s="1"/>
  <c r="V347" i="7" s="1"/>
  <c r="T198" i="7"/>
  <c r="U198" i="7" s="1"/>
  <c r="V198" i="7" s="1"/>
  <c r="T26" i="7"/>
  <c r="U26" i="7" s="1"/>
  <c r="T103" i="7"/>
  <c r="U103" i="7" s="1"/>
  <c r="V103" i="7" s="1"/>
  <c r="T278" i="7"/>
  <c r="U278" i="7" s="1"/>
  <c r="V278" i="7" s="1"/>
  <c r="T407" i="7"/>
  <c r="U407" i="7" s="1"/>
  <c r="V407" i="7" s="1"/>
  <c r="T58" i="7"/>
  <c r="U58" i="7" s="1"/>
  <c r="V58" i="7" s="1"/>
  <c r="T345" i="7"/>
  <c r="T386" i="7"/>
  <c r="T140" i="7"/>
  <c r="T99" i="7"/>
  <c r="U99" i="7" s="1"/>
  <c r="V99" i="7" s="1"/>
  <c r="T222" i="7"/>
  <c r="T263" i="7"/>
  <c r="T17" i="7"/>
  <c r="T304" i="7"/>
  <c r="H14" i="19"/>
  <c r="J14" i="19" s="1"/>
  <c r="M14" i="19" s="1"/>
  <c r="H12" i="19"/>
  <c r="J12" i="19" s="1"/>
  <c r="M12" i="19" s="1"/>
  <c r="V43" i="7" l="1"/>
  <c r="H38" i="19" s="1"/>
  <c r="J38" i="19" s="1"/>
  <c r="M38" i="19" s="1"/>
  <c r="V26" i="7"/>
  <c r="G11" i="19"/>
  <c r="V132" i="7"/>
  <c r="V91" i="7"/>
  <c r="H11" i="19"/>
  <c r="J11" i="19" s="1"/>
  <c r="M11" i="19" s="1"/>
  <c r="V200" i="7"/>
  <c r="H13" i="19"/>
  <c r="J13" i="19" s="1"/>
  <c r="M13" i="19" s="1"/>
  <c r="V315" i="7"/>
  <c r="U17" i="7"/>
  <c r="V17" i="7" s="1"/>
  <c r="V50" i="7" s="1"/>
  <c r="T50" i="7"/>
  <c r="T296" i="7"/>
  <c r="U263" i="7"/>
  <c r="V263" i="7" s="1"/>
  <c r="V296" i="7" s="1"/>
  <c r="T337" i="7"/>
  <c r="U304" i="7"/>
  <c r="V304" i="7" s="1"/>
  <c r="U222" i="7"/>
  <c r="V222" i="7" s="1"/>
  <c r="V255" i="7" s="1"/>
  <c r="T255" i="7"/>
  <c r="U345" i="7"/>
  <c r="V345" i="7" s="1"/>
  <c r="V378" i="7" s="1"/>
  <c r="T378" i="7"/>
  <c r="T214" i="7"/>
  <c r="U181" i="7"/>
  <c r="V181" i="7" s="1"/>
  <c r="T132" i="7"/>
  <c r="T91" i="7"/>
  <c r="T419" i="7"/>
  <c r="U386" i="7"/>
  <c r="V386" i="7" s="1"/>
  <c r="V419" i="7" s="1"/>
  <c r="T173" i="7"/>
  <c r="U140" i="7"/>
  <c r="V140" i="7" s="1"/>
  <c r="V173" i="7" s="1"/>
  <c r="G42" i="19" l="1"/>
  <c r="H42" i="19" s="1"/>
  <c r="G36" i="19"/>
  <c r="H36" i="19" s="1"/>
  <c r="V214" i="7"/>
  <c r="V337" i="7"/>
  <c r="M36" i="19"/>
  <c r="J36" i="19"/>
  <c r="U50" i="7"/>
  <c r="T8" i="7"/>
  <c r="U419" i="7"/>
  <c r="U132" i="7"/>
  <c r="U378" i="7"/>
  <c r="U214" i="7"/>
  <c r="U296" i="7"/>
  <c r="U337" i="7"/>
  <c r="U173" i="7"/>
  <c r="U91" i="7"/>
  <c r="U255" i="7"/>
  <c r="M42" i="19" l="1"/>
  <c r="M43" i="19" s="1"/>
  <c r="J42" i="19"/>
  <c r="J43" i="19" s="1"/>
  <c r="G43" i="19"/>
  <c r="H43" i="19" s="1"/>
  <c r="V8" i="7"/>
  <c r="U8" i="7"/>
</calcChain>
</file>

<file path=xl/sharedStrings.xml><?xml version="1.0" encoding="utf-8"?>
<sst xmlns="http://schemas.openxmlformats.org/spreadsheetml/2006/main" count="1898" uniqueCount="266">
  <si>
    <t xml:space="preserve">MAILING ADDRESS (STREET OR P.O. BOX)  </t>
  </si>
  <si>
    <t>CITY/STATE</t>
  </si>
  <si>
    <t xml:space="preserve">ZIP CODE </t>
  </si>
  <si>
    <t xml:space="preserve">NAME </t>
  </si>
  <si>
    <t>PHONE (Area Code)</t>
  </si>
  <si>
    <t>FAX # (Area Code)</t>
  </si>
  <si>
    <t>E-MAIL ADDRESS</t>
  </si>
  <si>
    <t>ACCOUNTING FIRM</t>
  </si>
  <si>
    <t>ACCOUNT REPRESENTATIVE/CONTACT</t>
  </si>
  <si>
    <t xml:space="preserve">MAILING ADDRESS </t>
  </si>
  <si>
    <t>CITY/STATE/ZIP</t>
  </si>
  <si>
    <t>(            )</t>
  </si>
  <si>
    <t>5. COST REPORT CERTIFICATION:</t>
  </si>
  <si>
    <t>SIGNATURE OF CHIEF FINANCIAL OFFICER</t>
  </si>
  <si>
    <t>DATE</t>
  </si>
  <si>
    <t>PROVIDER NAME</t>
  </si>
  <si>
    <r>
      <t>PROVIDER #</t>
    </r>
    <r>
      <rPr>
        <u/>
        <sz val="10"/>
        <rFont val="Arial"/>
        <family val="2"/>
      </rPr>
      <t xml:space="preserve">  </t>
    </r>
  </si>
  <si>
    <t>STREET ADDRESS</t>
  </si>
  <si>
    <t>Total Available Hours/Year</t>
  </si>
  <si>
    <t>Unit Measure</t>
  </si>
  <si>
    <t>Psychiatrist</t>
  </si>
  <si>
    <t xml:space="preserve">Provider Name: </t>
  </si>
  <si>
    <t>Cost Report Period:</t>
  </si>
  <si>
    <t>Total Cost</t>
  </si>
  <si>
    <t>NAME</t>
  </si>
  <si>
    <t>CONTACT INFO</t>
  </si>
  <si>
    <t>COST REPORT PERIOD FROM:</t>
  </si>
  <si>
    <t>Professional Category</t>
  </si>
  <si>
    <t>Physician</t>
  </si>
  <si>
    <t>Physician Assistant</t>
  </si>
  <si>
    <t>% to Alloc</t>
  </si>
  <si>
    <t>Other: Allowable Administrative</t>
  </si>
  <si>
    <t>I HEREBY CERTIFY that:</t>
  </si>
  <si>
    <t>2.  The expenditures included in this statement are based on the actual cost of recorded expenditures.</t>
  </si>
  <si>
    <t>TYPE OF REPORT:</t>
  </si>
  <si>
    <t>4.  I am the officer authorized by the referenced government agency to submit this form and I have made a good faith effort to assure that all information reported is true and accurate.</t>
  </si>
  <si>
    <t>5.  I understand that this information will be used as a basis for claims for federal funds, and possibly state funds, and that falsification and concealment of a material fact may be prosecuted under federal or state civil or criminal law.</t>
  </si>
  <si>
    <t>3.  For Providers that Certify Matching funds: I hereby certify that the required amount of state and/or local funds were available and used to pay for expenditures  in an amount at least equal to the non-federal share of the allowable, reasonable and necessary cost for the expenditures in this statement, and such state and/or local funds were in accordance with all applicable federal requirements for the non-federal share match of expenditures (including that the funds were not Federal funds in origin, or are Federal funds authorized by Federal law to be used to match other Federal funds, and that the claimed expenditures were not used to meet matching requirements under other Federally funded programs).</t>
  </si>
  <si>
    <t>Total</t>
  </si>
  <si>
    <t>Type of Service</t>
  </si>
  <si>
    <t>Contract Labor</t>
  </si>
  <si>
    <t>Total Hours</t>
  </si>
  <si>
    <t>DHHS Procedure Code</t>
  </si>
  <si>
    <t>Total Units</t>
  </si>
  <si>
    <t>Actual Unit Cost</t>
  </si>
  <si>
    <t>Rehabilitation Subtotal:</t>
  </si>
  <si>
    <t>Medicaid Units</t>
  </si>
  <si>
    <t>TPL Payment</t>
  </si>
  <si>
    <t>Medicaid Cost</t>
  </si>
  <si>
    <t>Col. 1</t>
  </si>
  <si>
    <t>Col. 2</t>
  </si>
  <si>
    <t>Col. 3</t>
  </si>
  <si>
    <t>Col. 4</t>
  </si>
  <si>
    <t>Col. 5</t>
  </si>
  <si>
    <t>Col. 6</t>
  </si>
  <si>
    <t>Col. 7</t>
  </si>
  <si>
    <t>Col. 8</t>
  </si>
  <si>
    <t>Col. 9</t>
  </si>
  <si>
    <t>Col. 10</t>
  </si>
  <si>
    <t>Col. 11</t>
  </si>
  <si>
    <t>DHHS Report</t>
  </si>
  <si>
    <t>Medicaid Fee for Service Payments</t>
  </si>
  <si>
    <t>Provider's Service Code</t>
  </si>
  <si>
    <t>1. I have examined this statement, the accompanying Supporting Schedules, the allocation of expenses and services, and the attached Worksheets for the period from ________ to _______ and that to the best of my knowledge and belief they are true and correct statements prepared from the books and records of the Provider in accordance with applicable instructions.</t>
  </si>
  <si>
    <t>6.  This Financial and Statistical report of expenditures that the undersigned certifies are allocable and allowable to the state Medicaid program under Title XIX of the Social Security Act (the ACT), in accordance with all procedures, instructions and guidance issued by the single state agency and in effect during the Year Ended ____________.</t>
  </si>
  <si>
    <t>Behavioral Health Rehabilitative</t>
  </si>
  <si>
    <t>SC DEPARTMENT OF HEALTH AND HUMAN SERVICES</t>
  </si>
  <si>
    <t xml:space="preserve">FINANCIAL AND STATISTICAL REPORT </t>
  </si>
  <si>
    <t xml:space="preserve">Behavioral Health Rehabilitative </t>
  </si>
  <si>
    <t>Potential Amount Due From/(To) DHHS</t>
  </si>
  <si>
    <t>Behavioral Health Screening</t>
  </si>
  <si>
    <t>H2011</t>
  </si>
  <si>
    <t>Group Therapy</t>
  </si>
  <si>
    <t>H0032</t>
  </si>
  <si>
    <t xml:space="preserve">Rehabilitation </t>
  </si>
  <si>
    <t>Behavior Modification</t>
  </si>
  <si>
    <t>Masters</t>
  </si>
  <si>
    <t>H2014</t>
  </si>
  <si>
    <t>Bachelors</t>
  </si>
  <si>
    <t>High School</t>
  </si>
  <si>
    <t>Family Support</t>
  </si>
  <si>
    <t>S9482</t>
  </si>
  <si>
    <t>RN</t>
  </si>
  <si>
    <t>Peer Support</t>
  </si>
  <si>
    <t>H0038</t>
  </si>
  <si>
    <t>H2017</t>
  </si>
  <si>
    <t>LPN</t>
  </si>
  <si>
    <t>APRN</t>
  </si>
  <si>
    <t>HO</t>
  </si>
  <si>
    <t>HN</t>
  </si>
  <si>
    <t>HM</t>
  </si>
  <si>
    <t>AF</t>
  </si>
  <si>
    <t>HP</t>
  </si>
  <si>
    <t>AM</t>
  </si>
  <si>
    <t>SA</t>
  </si>
  <si>
    <t>AH</t>
  </si>
  <si>
    <t>TD</t>
  </si>
  <si>
    <t>TE</t>
  </si>
  <si>
    <t>Professional Modifier</t>
  </si>
  <si>
    <t>Professional Category Modifier</t>
  </si>
  <si>
    <t>Provider  Service Code</t>
  </si>
  <si>
    <t>Other Reimbursable and Non Reimbursable Cost Centers</t>
  </si>
  <si>
    <t>Other Reimbursable/Non Reimbursable Subtotal:</t>
  </si>
  <si>
    <t>Note: Upon provider's completion of the "Crosswalk" tab (if applicable), this schedule should be used to identify services</t>
  </si>
  <si>
    <t xml:space="preserve">By selecting from the drop down menu, the other fields on the line are automatically populated. Furtheremore, these codes </t>
  </si>
  <si>
    <t xml:space="preserve">are also linked to the cost determination/allocation schedules for greater ease and accuracy of preparation. </t>
  </si>
  <si>
    <t xml:space="preserve">that the provider performs and bills to SCDHHS for Medicaid beneficiaries.   By clicking on the yellow shaded cells in </t>
  </si>
  <si>
    <t>H0002</t>
  </si>
  <si>
    <t>Service Plan Development - Interdisciplinary with Client</t>
  </si>
  <si>
    <t>Service Plan Development - Interdisciplinary w/o Client</t>
  </si>
  <si>
    <t xml:space="preserve">Service Plan Development </t>
  </si>
  <si>
    <t>Family Therapy w/o patient present</t>
  </si>
  <si>
    <t>Family Therapy with patient present</t>
  </si>
  <si>
    <t>H0034</t>
  </si>
  <si>
    <t>Medication Management</t>
  </si>
  <si>
    <t>Crisis Management</t>
  </si>
  <si>
    <t>Rehabilitation Psychosocial Services</t>
  </si>
  <si>
    <t>Psychological Testing</t>
  </si>
  <si>
    <t>Diagnostic Assessment- Follow Up</t>
  </si>
  <si>
    <t>Diagnostic Assessment- Initial</t>
  </si>
  <si>
    <t>T1016</t>
  </si>
  <si>
    <t>T1017</t>
  </si>
  <si>
    <t>Concurrent Case Mgt - FI Adult</t>
  </si>
  <si>
    <t>Targeted Case Mgt - FI Adult</t>
  </si>
  <si>
    <t xml:space="preserve">H0031 </t>
  </si>
  <si>
    <t>H2000</t>
  </si>
  <si>
    <t xml:space="preserve">H2000 </t>
  </si>
  <si>
    <t>Individual Therapy - 30 Minutes</t>
  </si>
  <si>
    <t>Individual Therapy - 45 Minutes</t>
  </si>
  <si>
    <t>Individual Therapy - 60 Minutes</t>
  </si>
  <si>
    <t>Multiple family Group Psychotherapy</t>
  </si>
  <si>
    <t>Psychiatric Diagnostic Evaluation without Medical Services</t>
  </si>
  <si>
    <t>Psychiatric Diagnostic Evaluation with Medical Services</t>
  </si>
  <si>
    <t>Encounter/Group</t>
  </si>
  <si>
    <t>Encounter Effective 1/1/13</t>
  </si>
  <si>
    <t>Encounter Effective 2/1/13</t>
  </si>
  <si>
    <t>Encounter 12/1/13</t>
  </si>
  <si>
    <t>Encounter</t>
  </si>
  <si>
    <t>Psychiatrist/ Physician</t>
  </si>
  <si>
    <t>Doctoral Level</t>
  </si>
  <si>
    <t>Psychiatrist / Physician</t>
  </si>
  <si>
    <t>Doctoral level</t>
  </si>
  <si>
    <t>OO</t>
  </si>
  <si>
    <t>No Modifier Required 2/1/13</t>
  </si>
  <si>
    <t>col.1</t>
  </si>
  <si>
    <t>col.2</t>
  </si>
  <si>
    <t>col.3</t>
  </si>
  <si>
    <t>col.4</t>
  </si>
  <si>
    <t>col.5</t>
  </si>
  <si>
    <t>col. 7</t>
  </si>
  <si>
    <t>col.8</t>
  </si>
  <si>
    <t>col. 9</t>
  </si>
  <si>
    <t>Employee Name</t>
  </si>
  <si>
    <t>Allowable Salary Claimed</t>
  </si>
  <si>
    <t>Fringes</t>
  </si>
  <si>
    <t>Percentage of Time Dedicated to RBHS Program</t>
  </si>
  <si>
    <t>Allowable Fringe Benefits Claimed</t>
  </si>
  <si>
    <t>col. 6</t>
  </si>
  <si>
    <t>col. 10</t>
  </si>
  <si>
    <t>Total Allowable Salary and Fringe Benefits</t>
  </si>
  <si>
    <t>Employee Type</t>
  </si>
  <si>
    <t xml:space="preserve">Salary </t>
  </si>
  <si>
    <t>Select From Drop Down Arrow Below</t>
  </si>
  <si>
    <t>Total Salary and Fringe Benefits</t>
  </si>
  <si>
    <t>Perform Supervisory Duties</t>
  </si>
  <si>
    <t>(Yes or No)</t>
  </si>
  <si>
    <t>Fringe Benefit Percentage</t>
  </si>
  <si>
    <t>Average Hourly Rate</t>
  </si>
  <si>
    <t>col. 11</t>
  </si>
  <si>
    <t>Materials and Supplies</t>
  </si>
  <si>
    <t>Training</t>
  </si>
  <si>
    <t>Travel</t>
  </si>
  <si>
    <t>Direct Expense Allocation Ratio</t>
  </si>
  <si>
    <t>Direct Salaries</t>
  </si>
  <si>
    <t># of Hours Available During Cost Reporting Period</t>
  </si>
  <si>
    <t>Non-Capital Related Equipment</t>
  </si>
  <si>
    <t>Total Direct Salary</t>
  </si>
  <si>
    <t>Professional Allowable Administrative Salary</t>
  </si>
  <si>
    <t xml:space="preserve"> Non Professional Indirect Salaries/ Fringes</t>
  </si>
  <si>
    <t>Financial Summary and Statistical Report</t>
  </si>
  <si>
    <t>Restricted Indirect Cost Rate</t>
  </si>
  <si>
    <t xml:space="preserve">Cost Reporting Period </t>
  </si>
  <si>
    <t>U1</t>
  </si>
  <si>
    <t>U2</t>
  </si>
  <si>
    <t>U3</t>
  </si>
  <si>
    <t>U5</t>
  </si>
  <si>
    <t>U4</t>
  </si>
  <si>
    <t>U6</t>
  </si>
  <si>
    <t>U7</t>
  </si>
  <si>
    <t>U9</t>
  </si>
  <si>
    <t>U8</t>
  </si>
  <si>
    <t>UA</t>
  </si>
  <si>
    <t>Individual Eff. 3/1/15</t>
  </si>
  <si>
    <t>Group Eff. 3/1/15</t>
  </si>
  <si>
    <t>Individual or Group</t>
  </si>
  <si>
    <t>Individual</t>
  </si>
  <si>
    <t>Group</t>
  </si>
  <si>
    <t>Modifier</t>
  </si>
  <si>
    <t>Indicator for Multiple Modifier's</t>
  </si>
  <si>
    <t>Total Service Hours for Group Settings</t>
  </si>
  <si>
    <t>Other</t>
  </si>
  <si>
    <t>Procedure Name</t>
  </si>
  <si>
    <t>Procedure Code</t>
  </si>
  <si>
    <t>Direct Expense Functional Allocation</t>
  </si>
  <si>
    <t>Direct Expense Pooled Allocation</t>
  </si>
  <si>
    <t>Job Title</t>
  </si>
  <si>
    <t>Direct and Indirect Expenses</t>
  </si>
  <si>
    <t xml:space="preserve">For the Cost Reporting Period </t>
  </si>
  <si>
    <t>(Col. 6 * Co.l 7)</t>
  </si>
  <si>
    <t>(Col. 8 - Col. 9 - Col 10)</t>
  </si>
  <si>
    <t>Settlement Calculation</t>
  </si>
  <si>
    <t>GENERAL INFORMATION</t>
  </si>
  <si>
    <t>BEHAVIORAL HEALTH REHABILITATIVE SERVICES (RBHS)_____TARGET CASE MANAGEMENT SERVICES (TCM) ______</t>
  </si>
  <si>
    <r>
      <t xml:space="preserve">3. </t>
    </r>
    <r>
      <rPr>
        <b/>
        <u/>
        <sz val="11"/>
        <rFont val="Arial"/>
        <family val="2"/>
      </rPr>
      <t>PROVIDER'S ACCOUNTING FIRM:</t>
    </r>
  </si>
  <si>
    <r>
      <t xml:space="preserve">4.  </t>
    </r>
    <r>
      <rPr>
        <b/>
        <u/>
        <sz val="11"/>
        <rFont val="Arial"/>
        <family val="2"/>
      </rPr>
      <t>COST REPORT PREPARED BY:</t>
    </r>
  </si>
  <si>
    <r>
      <t xml:space="preserve">2. </t>
    </r>
    <r>
      <rPr>
        <b/>
        <u/>
        <sz val="11"/>
        <rFont val="Arial"/>
        <family val="2"/>
      </rPr>
      <t>CHIEF FINANCIAL OFFICER DATA:</t>
    </r>
  </si>
  <si>
    <r>
      <t xml:space="preserve">1. </t>
    </r>
    <r>
      <rPr>
        <b/>
        <u/>
        <sz val="11"/>
        <rFont val="Arial"/>
        <family val="2"/>
      </rPr>
      <t>PROVIDER DATA:</t>
    </r>
  </si>
  <si>
    <t>Total Direct and Prof Admin Salaries</t>
  </si>
  <si>
    <t>Unit Rate</t>
  </si>
  <si>
    <t>col. 12</t>
  </si>
  <si>
    <t>col. 13</t>
  </si>
  <si>
    <t>col. 14</t>
  </si>
  <si>
    <t>Employee Productivity</t>
  </si>
  <si>
    <t>Col. 12</t>
  </si>
  <si>
    <t>Col. 13</t>
  </si>
  <si>
    <t>Col. 14</t>
  </si>
  <si>
    <t>Col. 15</t>
  </si>
  <si>
    <t>Col. 16</t>
  </si>
  <si>
    <t>Col. 17</t>
  </si>
  <si>
    <t>Col. 18</t>
  </si>
  <si>
    <t>Col. 19</t>
  </si>
  <si>
    <t>Col. 20</t>
  </si>
  <si>
    <t>Col. 21</t>
  </si>
  <si>
    <t xml:space="preserve">Indirect Non-Professional Salary and Fringes </t>
  </si>
  <si>
    <t>Direct Professional Salary and Fringe Benefits</t>
  </si>
  <si>
    <t>Indirect Cost Allocation Method</t>
  </si>
  <si>
    <t>Unrestricted Indirect Cost Rate</t>
  </si>
  <si>
    <t>Select Indirect Cost Method from Drop Down Box</t>
  </si>
  <si>
    <t>Other Indirect Allocation Method</t>
  </si>
  <si>
    <t>Expense Account</t>
  </si>
  <si>
    <t>Materials / Supplies</t>
  </si>
  <si>
    <t>Amount of Expense</t>
  </si>
  <si>
    <t>Col. 22</t>
  </si>
  <si>
    <t>Direct Expense</t>
  </si>
  <si>
    <t>Services Rendered</t>
  </si>
  <si>
    <t>Direct Expenses Pooled Allocation (expense will be allocated to all procedures and all professional categories)</t>
  </si>
  <si>
    <t>Supporting Documentation Required</t>
  </si>
  <si>
    <t>Direct Expenses Functional Allocation (expense will be allocated by procedure code by professional category)</t>
  </si>
  <si>
    <t>Percentage of Time Dedicated to  Program</t>
  </si>
  <si>
    <t># of  hours available during cost reporting period</t>
  </si>
  <si>
    <t>Percentage of Time Dedicated to Program</t>
  </si>
  <si>
    <t>No</t>
  </si>
  <si>
    <t>Supervisory Duties</t>
  </si>
  <si>
    <t>Yes</t>
  </si>
  <si>
    <t>Total all Professional Categories</t>
  </si>
  <si>
    <t>Provider's Corresponding Procedure Code</t>
  </si>
  <si>
    <t xml:space="preserve">Total Hours for Individual Settings </t>
  </si>
  <si>
    <t>Total Employee Productivity</t>
  </si>
  <si>
    <t>Total All Professional Categories and Services</t>
  </si>
  <si>
    <t xml:space="preserve">Column A, a drop down box will appear that allows the user to select from the array of codes used in a particular program. </t>
  </si>
  <si>
    <t>Total Units (Billable and Unbillable)</t>
  </si>
  <si>
    <t># of  Hours Available to Program During Cost Reporting Period</t>
  </si>
  <si>
    <t># of Hours Available to Program During Cost Reporting Period</t>
  </si>
  <si>
    <t>State Agency Employee</t>
  </si>
  <si>
    <t>State Agency Employee/ Contract Labor</t>
  </si>
  <si>
    <t>Psychologist (PhD)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</si>
</sst>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0_);\(&quot;$&quot;#,##0\)"/>
    <numFmt numFmtId="7" formatCode="&quot;$&quot;#,##0.00_);\(&quot;$&quot;#,##0.00\)"/>
    <numFmt numFmtId="8" formatCode="&quot;$&quot;#,##0.00_);[Red]\(&quot;$&quot;#,##0.00\)"/>
    <numFmt numFmtId="41" formatCode="_(* #,##0_);_(* \(#,##0\);_(* &quot;-&quot;_);_(@_)"/>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0.00_);\(0.00\)"/>
    <numFmt numFmtId="167" formatCode="m/d/yy"/>
  </numFmts>
  <fonts count="37" x14ac:knownFonts="1">
    <font>
      <sz val="10"/>
      <color theme="1"/>
      <name val="Arial"/>
      <family val="2"/>
    </font>
    <font>
      <sz val="10"/>
      <color theme="1"/>
      <name val="Arial"/>
      <family val="2"/>
    </font>
    <font>
      <b/>
      <sz val="10"/>
      <color theme="1"/>
      <name val="Arial"/>
      <family val="2"/>
    </font>
    <font>
      <b/>
      <sz val="12"/>
      <name val="Arial"/>
      <family val="2"/>
    </font>
    <font>
      <sz val="11"/>
      <name val="Arial"/>
      <family val="2"/>
    </font>
    <font>
      <sz val="10"/>
      <name val="Arial"/>
      <family val="2"/>
    </font>
    <font>
      <sz val="10"/>
      <name val="Arial"/>
      <family val="2"/>
    </font>
    <font>
      <u/>
      <sz val="10"/>
      <name val="Arial"/>
      <family val="2"/>
    </font>
    <font>
      <u/>
      <sz val="10"/>
      <color indexed="12"/>
      <name val="Arial"/>
      <family val="2"/>
    </font>
    <font>
      <sz val="12"/>
      <name val="Arial"/>
      <family val="2"/>
    </font>
    <font>
      <b/>
      <sz val="11"/>
      <name val="Arial"/>
      <family val="2"/>
    </font>
    <font>
      <sz val="10"/>
      <color rgb="FFFF0000"/>
      <name val="Arial"/>
      <family val="2"/>
    </font>
    <font>
      <b/>
      <sz val="10"/>
      <name val="Arial"/>
      <family val="2"/>
    </font>
    <font>
      <sz val="10"/>
      <name val="Arial"/>
      <family val="2"/>
    </font>
    <font>
      <sz val="12"/>
      <color theme="1"/>
      <name val="Arial"/>
      <family val="2"/>
    </font>
    <font>
      <b/>
      <sz val="12"/>
      <color theme="1"/>
      <name val="Arial"/>
      <family val="2"/>
    </font>
    <font>
      <b/>
      <sz val="11"/>
      <color rgb="FFFF0000"/>
      <name val="Arial"/>
      <family val="2"/>
    </font>
    <font>
      <sz val="11"/>
      <color rgb="FFFF0000"/>
      <name val="Arial"/>
      <family val="2"/>
    </font>
    <font>
      <sz val="12"/>
      <color rgb="FFFF0000"/>
      <name val="Arial"/>
      <family val="2"/>
    </font>
    <font>
      <b/>
      <sz val="11"/>
      <color theme="1"/>
      <name val="Calibri"/>
      <family val="2"/>
      <scheme val="minor"/>
    </font>
    <font>
      <sz val="10"/>
      <color theme="1"/>
      <name val="Calibri"/>
      <family val="2"/>
      <scheme val="minor"/>
    </font>
    <font>
      <b/>
      <sz val="12"/>
      <color rgb="FFFF0000"/>
      <name val="Arial"/>
      <family val="2"/>
    </font>
    <font>
      <b/>
      <i/>
      <sz val="12"/>
      <color theme="1"/>
      <name val="Arial"/>
      <family val="2"/>
    </font>
    <font>
      <b/>
      <i/>
      <sz val="12"/>
      <name val="Arial"/>
      <family val="2"/>
    </font>
    <font>
      <b/>
      <i/>
      <sz val="16"/>
      <color theme="1"/>
      <name val="Arial"/>
      <family val="2"/>
    </font>
    <font>
      <sz val="16"/>
      <color theme="1"/>
      <name val="Arial"/>
      <family val="2"/>
    </font>
    <font>
      <b/>
      <sz val="14"/>
      <color theme="1"/>
      <name val="Arial"/>
      <family val="2"/>
    </font>
    <font>
      <b/>
      <sz val="16"/>
      <name val="Arial"/>
      <family val="2"/>
    </font>
    <font>
      <sz val="14"/>
      <color theme="1"/>
      <name val="Arial"/>
      <family val="2"/>
    </font>
    <font>
      <b/>
      <sz val="14"/>
      <name val="Arial"/>
      <family val="2"/>
    </font>
    <font>
      <i/>
      <sz val="12"/>
      <name val="Arial"/>
      <family val="2"/>
    </font>
    <font>
      <b/>
      <sz val="12"/>
      <color theme="1"/>
      <name val="Calibri"/>
      <family val="2"/>
      <scheme val="minor"/>
    </font>
    <font>
      <sz val="14"/>
      <name val="Arial"/>
      <family val="2"/>
    </font>
    <font>
      <sz val="11"/>
      <color theme="1"/>
      <name val="Arial"/>
      <family val="2"/>
    </font>
    <font>
      <b/>
      <u/>
      <sz val="11"/>
      <name val="Arial"/>
      <family val="2"/>
    </font>
    <font>
      <b/>
      <i/>
      <sz val="10"/>
      <color rgb="FFFF0000"/>
      <name val="Arial"/>
      <family val="2"/>
    </font>
    <font>
      <i/>
      <sz val="10"/>
      <color rgb="FFFF0000"/>
      <name val="Arial"/>
      <family val="2"/>
    </font>
  </fonts>
  <fills count="9">
    <fill>
      <patternFill patternType="none"/>
    </fill>
    <fill>
      <patternFill patternType="gray125"/>
    </fill>
    <fill>
      <patternFill patternType="solid">
        <fgColor indexed="9"/>
        <bgColor indexed="64"/>
      </patternFill>
    </fill>
    <fill>
      <patternFill patternType="solid">
        <fgColor theme="0" tint="-0.249977111117893"/>
        <bgColor indexed="64"/>
      </patternFill>
    </fill>
    <fill>
      <patternFill patternType="solid">
        <fgColor theme="3" tint="0.79998168889431442"/>
        <bgColor indexed="64"/>
      </patternFill>
    </fill>
    <fill>
      <patternFill patternType="solid">
        <fgColor rgb="FFFFFFCC"/>
        <bgColor indexed="64"/>
      </patternFill>
    </fill>
    <fill>
      <patternFill patternType="solid">
        <fgColor rgb="FFFFFF99"/>
        <bgColor indexed="64"/>
      </patternFill>
    </fill>
    <fill>
      <patternFill patternType="solid">
        <fgColor theme="8" tint="0.79998168889431442"/>
        <bgColor indexed="64"/>
      </patternFill>
    </fill>
    <fill>
      <patternFill patternType="solid">
        <fgColor theme="5" tint="0.79998168889431442"/>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medium">
        <color indexed="64"/>
      </right>
      <top/>
      <bottom style="medium">
        <color indexed="64"/>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s>
  <cellStyleXfs count="11">
    <xf numFmtId="0" fontId="0" fillId="0" borderId="0"/>
    <xf numFmtId="9" fontId="1" fillId="0" borderId="0" applyFont="0" applyFill="0" applyBorder="0" applyAlignment="0" applyProtection="0"/>
    <xf numFmtId="0" fontId="8" fillId="0" borderId="0" applyNumberFormat="0" applyFill="0" applyBorder="0" applyAlignment="0" applyProtection="0">
      <alignment vertical="top"/>
      <protection locked="0"/>
    </xf>
    <xf numFmtId="0" fontId="5" fillId="0" borderId="0"/>
    <xf numFmtId="43" fontId="1" fillId="0" borderId="0" applyFont="0" applyFill="0" applyBorder="0" applyAlignment="0" applyProtection="0"/>
    <xf numFmtId="44" fontId="1" fillId="0" borderId="0" applyFont="0" applyFill="0" applyBorder="0" applyAlignment="0" applyProtection="0"/>
    <xf numFmtId="0" fontId="13" fillId="0" borderId="0"/>
    <xf numFmtId="0" fontId="9" fillId="0" borderId="0"/>
    <xf numFmtId="0" fontId="5" fillId="0" borderId="0"/>
    <xf numFmtId="43" fontId="5" fillId="0" borderId="0" applyFont="0" applyFill="0" applyBorder="0" applyAlignment="0" applyProtection="0"/>
    <xf numFmtId="9" fontId="5" fillId="0" borderId="0" applyFont="0" applyFill="0" applyBorder="0" applyAlignment="0" applyProtection="0"/>
  </cellStyleXfs>
  <cellXfs count="683">
    <xf numFmtId="0" fontId="0" fillId="0" borderId="0" xfId="0"/>
    <xf numFmtId="0" fontId="9" fillId="0" borderId="0" xfId="3" applyFont="1"/>
    <xf numFmtId="0" fontId="5" fillId="0" borderId="0" xfId="3" applyFont="1"/>
    <xf numFmtId="0" fontId="5" fillId="0" borderId="0" xfId="3" applyFont="1" applyAlignment="1">
      <alignment horizontal="center"/>
    </xf>
    <xf numFmtId="0" fontId="5" fillId="0" borderId="0" xfId="3"/>
    <xf numFmtId="0" fontId="4" fillId="0" borderId="0" xfId="3" applyFont="1"/>
    <xf numFmtId="0" fontId="6" fillId="0" borderId="0" xfId="3" applyFont="1"/>
    <xf numFmtId="0" fontId="5" fillId="0" borderId="0" xfId="3" applyFill="1"/>
    <xf numFmtId="0" fontId="10" fillId="0" borderId="0" xfId="3" applyFont="1" applyAlignment="1">
      <alignment horizontal="left"/>
    </xf>
    <xf numFmtId="0" fontId="0" fillId="0" borderId="0" xfId="0" applyFill="1"/>
    <xf numFmtId="0" fontId="3" fillId="0" borderId="0" xfId="3" applyFont="1" applyAlignment="1">
      <alignment horizontal="left"/>
    </xf>
    <xf numFmtId="0" fontId="0" fillId="0" borderId="0" xfId="0" applyAlignment="1"/>
    <xf numFmtId="0" fontId="4" fillId="0" borderId="0" xfId="3" applyFont="1" applyAlignment="1"/>
    <xf numFmtId="0" fontId="3" fillId="0" borderId="0" xfId="3" applyFont="1" applyBorder="1" applyAlignment="1">
      <alignment horizontal="left"/>
    </xf>
    <xf numFmtId="0" fontId="0" fillId="0" borderId="0" xfId="0" applyFill="1" applyBorder="1"/>
    <xf numFmtId="0" fontId="4" fillId="0" borderId="0" xfId="3" applyFont="1" applyFill="1"/>
    <xf numFmtId="0" fontId="0" fillId="0" borderId="1" xfId="0" applyFill="1" applyBorder="1"/>
    <xf numFmtId="0" fontId="11" fillId="0" borderId="0" xfId="0" applyFont="1"/>
    <xf numFmtId="0" fontId="0" fillId="0" borderId="0" xfId="0" applyFill="1" applyAlignment="1">
      <alignment horizontal="left"/>
    </xf>
    <xf numFmtId="0" fontId="3" fillId="0" borderId="0" xfId="3" applyFont="1" applyFill="1" applyAlignment="1">
      <alignment horizontal="left"/>
    </xf>
    <xf numFmtId="0" fontId="4" fillId="0" borderId="0" xfId="3" applyFont="1" applyFill="1" applyAlignment="1">
      <alignment horizontal="left"/>
    </xf>
    <xf numFmtId="0" fontId="0" fillId="0" borderId="0" xfId="0" applyNumberFormat="1"/>
    <xf numFmtId="0" fontId="0" fillId="0" borderId="0" xfId="0" applyFont="1"/>
    <xf numFmtId="0" fontId="2" fillId="0" borderId="1" xfId="0" applyFont="1" applyBorder="1" applyAlignment="1">
      <alignment horizontal="center" wrapText="1"/>
    </xf>
    <xf numFmtId="0" fontId="2" fillId="0" borderId="5" xfId="0" applyFont="1" applyBorder="1" applyAlignment="1">
      <alignment horizontal="center" wrapText="1"/>
    </xf>
    <xf numFmtId="0" fontId="2" fillId="0" borderId="1" xfId="0" applyFont="1" applyFill="1" applyBorder="1" applyAlignment="1">
      <alignment horizontal="right"/>
    </xf>
    <xf numFmtId="0" fontId="2" fillId="0" borderId="1" xfId="0" applyFont="1" applyFill="1" applyBorder="1" applyAlignment="1">
      <alignment horizontal="left"/>
    </xf>
    <xf numFmtId="0" fontId="2" fillId="0" borderId="2" xfId="0" applyFont="1" applyBorder="1" applyAlignment="1">
      <alignment horizontal="center" wrapText="1"/>
    </xf>
    <xf numFmtId="0" fontId="2" fillId="0" borderId="1" xfId="0" applyFont="1" applyBorder="1" applyAlignment="1">
      <alignment horizontal="center"/>
    </xf>
    <xf numFmtId="39" fontId="2" fillId="0" borderId="1" xfId="4" applyNumberFormat="1" applyFont="1" applyFill="1" applyBorder="1"/>
    <xf numFmtId="39" fontId="0" fillId="0" borderId="0" xfId="0" applyNumberFormat="1" applyFont="1"/>
    <xf numFmtId="0" fontId="0" fillId="0" borderId="0" xfId="0" applyFont="1" applyBorder="1"/>
    <xf numFmtId="0" fontId="0" fillId="0" borderId="0" xfId="0" applyFont="1" applyAlignment="1">
      <alignment horizontal="left"/>
    </xf>
    <xf numFmtId="43" fontId="0" fillId="0" borderId="0" xfId="0" applyNumberFormat="1" applyFont="1" applyAlignment="1">
      <alignment horizontal="left"/>
    </xf>
    <xf numFmtId="0" fontId="0" fillId="4" borderId="1" xfId="0" applyFont="1" applyFill="1" applyBorder="1" applyAlignment="1">
      <alignment horizontal="left"/>
    </xf>
    <xf numFmtId="39" fontId="0" fillId="4" borderId="1" xfId="0" applyNumberFormat="1" applyFont="1" applyFill="1" applyBorder="1"/>
    <xf numFmtId="0" fontId="0" fillId="4" borderId="1" xfId="0" applyFont="1" applyFill="1" applyBorder="1"/>
    <xf numFmtId="0" fontId="2" fillId="4" borderId="1" xfId="0" applyFont="1" applyFill="1" applyBorder="1"/>
    <xf numFmtId="0" fontId="2" fillId="4" borderId="1" xfId="0" applyFont="1" applyFill="1" applyBorder="1" applyAlignment="1">
      <alignment horizontal="left" wrapText="1"/>
    </xf>
    <xf numFmtId="0" fontId="0" fillId="4" borderId="1" xfId="0" applyFont="1" applyFill="1" applyBorder="1" applyAlignment="1">
      <alignment horizontal="center" wrapText="1"/>
    </xf>
    <xf numFmtId="37" fontId="0" fillId="0" borderId="0" xfId="0" applyNumberFormat="1" applyFont="1"/>
    <xf numFmtId="37" fontId="0" fillId="4" borderId="1" xfId="0" applyNumberFormat="1" applyFont="1" applyFill="1" applyBorder="1"/>
    <xf numFmtId="37" fontId="2" fillId="0" borderId="1" xfId="0" applyNumberFormat="1" applyFont="1" applyBorder="1"/>
    <xf numFmtId="39" fontId="12" fillId="0" borderId="1" xfId="7" applyNumberFormat="1" applyFont="1" applyFill="1" applyBorder="1" applyAlignment="1">
      <alignment horizontal="center"/>
    </xf>
    <xf numFmtId="37" fontId="2" fillId="0" borderId="1" xfId="0" applyNumberFormat="1" applyFont="1" applyBorder="1" applyAlignment="1">
      <alignment horizontal="center" wrapText="1"/>
    </xf>
    <xf numFmtId="39" fontId="2" fillId="0" borderId="1" xfId="0" applyNumberFormat="1" applyFont="1" applyBorder="1" applyAlignment="1">
      <alignment horizontal="center" wrapText="1"/>
    </xf>
    <xf numFmtId="0" fontId="2" fillId="0" borderId="15" xfId="0" applyFont="1" applyBorder="1"/>
    <xf numFmtId="43" fontId="2" fillId="0" borderId="15" xfId="4" applyFont="1" applyBorder="1"/>
    <xf numFmtId="39" fontId="2" fillId="0" borderId="15" xfId="4" applyNumberFormat="1" applyFont="1" applyBorder="1"/>
    <xf numFmtId="37" fontId="2" fillId="0" borderId="15" xfId="4" applyNumberFormat="1" applyFont="1" applyBorder="1"/>
    <xf numFmtId="0" fontId="0" fillId="0" borderId="0" xfId="0" applyFont="1" applyAlignment="1">
      <alignment horizontal="center"/>
    </xf>
    <xf numFmtId="0" fontId="14" fillId="0" borderId="0" xfId="0" applyFont="1"/>
    <xf numFmtId="0" fontId="2" fillId="0" borderId="5" xfId="0" applyFont="1" applyBorder="1" applyAlignment="1">
      <alignment horizontal="center" wrapText="1"/>
    </xf>
    <xf numFmtId="0" fontId="15" fillId="0" borderId="5" xfId="0" applyFont="1" applyBorder="1" applyAlignment="1">
      <alignment horizontal="center" wrapText="1"/>
    </xf>
    <xf numFmtId="0" fontId="15" fillId="0" borderId="1" xfId="0" applyFont="1" applyBorder="1" applyAlignment="1">
      <alignment horizontal="center" wrapText="1"/>
    </xf>
    <xf numFmtId="0" fontId="15" fillId="4" borderId="1" xfId="0" applyFont="1" applyFill="1" applyBorder="1" applyAlignment="1">
      <alignment horizontal="left" wrapText="1"/>
    </xf>
    <xf numFmtId="0" fontId="14" fillId="4" borderId="1" xfId="0" applyFont="1" applyFill="1" applyBorder="1" applyAlignment="1">
      <alignment horizontal="left"/>
    </xf>
    <xf numFmtId="0" fontId="3" fillId="4" borderId="1" xfId="0" applyFont="1" applyFill="1" applyBorder="1"/>
    <xf numFmtId="0" fontId="0" fillId="0" borderId="1" xfId="0" applyFont="1" applyFill="1" applyBorder="1" applyAlignment="1">
      <alignment wrapText="1"/>
    </xf>
    <xf numFmtId="0" fontId="0" fillId="0" borderId="1" xfId="0" applyBorder="1" applyAlignment="1">
      <alignment horizontal="left"/>
    </xf>
    <xf numFmtId="39" fontId="3" fillId="0" borderId="0" xfId="3" applyNumberFormat="1" applyFont="1" applyBorder="1" applyAlignment="1">
      <alignment horizontal="left"/>
    </xf>
    <xf numFmtId="0" fontId="0" fillId="0" borderId="0" xfId="0" applyBorder="1" applyAlignment="1">
      <alignment horizontal="left"/>
    </xf>
    <xf numFmtId="39" fontId="10" fillId="0" borderId="0" xfId="3" applyNumberFormat="1" applyFont="1" applyBorder="1" applyAlignment="1">
      <alignment horizontal="left"/>
    </xf>
    <xf numFmtId="0" fontId="10" fillId="0" borderId="0" xfId="3" applyFont="1" applyBorder="1" applyAlignment="1">
      <alignment horizontal="left"/>
    </xf>
    <xf numFmtId="0" fontId="2" fillId="0" borderId="0" xfId="0" applyFont="1" applyBorder="1" applyAlignment="1">
      <alignment horizontal="left"/>
    </xf>
    <xf numFmtId="0" fontId="3" fillId="0" borderId="0" xfId="3" applyFont="1" applyAlignment="1">
      <alignment horizontal="center"/>
    </xf>
    <xf numFmtId="0" fontId="0" fillId="0" borderId="0" xfId="0" applyFont="1" applyFill="1" applyBorder="1"/>
    <xf numFmtId="0" fontId="2" fillId="0" borderId="1" xfId="0" applyFont="1" applyFill="1" applyBorder="1" applyAlignment="1">
      <alignment horizontal="left" wrapText="1"/>
    </xf>
    <xf numFmtId="0" fontId="0" fillId="0" borderId="1" xfId="0" applyFont="1" applyFill="1" applyBorder="1" applyAlignment="1">
      <alignment horizontal="left"/>
    </xf>
    <xf numFmtId="0" fontId="0" fillId="0" borderId="1" xfId="0" applyFont="1" applyFill="1" applyBorder="1"/>
    <xf numFmtId="0" fontId="0" fillId="0" borderId="1" xfId="0" quotePrefix="1" applyFont="1" applyFill="1" applyBorder="1" applyAlignment="1">
      <alignment horizontal="left"/>
    </xf>
    <xf numFmtId="0" fontId="2" fillId="0" borderId="1" xfId="0" applyFont="1" applyFill="1" applyBorder="1"/>
    <xf numFmtId="14" fontId="0" fillId="0" borderId="0" xfId="0" applyNumberFormat="1" applyFill="1"/>
    <xf numFmtId="0" fontId="0" fillId="0" borderId="5" xfId="0" applyFont="1" applyFill="1" applyBorder="1" applyAlignment="1">
      <alignment horizontal="left"/>
    </xf>
    <xf numFmtId="0" fontId="14" fillId="0" borderId="0" xfId="0" applyNumberFormat="1" applyFont="1" applyBorder="1"/>
    <xf numFmtId="0" fontId="15" fillId="0" borderId="1" xfId="0" applyNumberFormat="1" applyFont="1" applyBorder="1" applyAlignment="1">
      <alignment horizontal="center" wrapText="1"/>
    </xf>
    <xf numFmtId="0" fontId="14" fillId="4" borderId="1" xfId="0" applyNumberFormat="1" applyFont="1" applyFill="1" applyBorder="1" applyAlignment="1">
      <alignment horizontal="left"/>
    </xf>
    <xf numFmtId="0" fontId="14" fillId="0" borderId="0" xfId="0" applyNumberFormat="1" applyFont="1"/>
    <xf numFmtId="0" fontId="0" fillId="0" borderId="0" xfId="0" applyFont="1" applyAlignment="1">
      <alignment horizontal="left" readingOrder="1"/>
    </xf>
    <xf numFmtId="0" fontId="2" fillId="0" borderId="1" xfId="0" applyFont="1" applyBorder="1" applyAlignment="1">
      <alignment horizontal="left" readingOrder="1"/>
    </xf>
    <xf numFmtId="0" fontId="2" fillId="0" borderId="1" xfId="0" applyFont="1" applyBorder="1" applyAlignment="1">
      <alignment horizontal="left" wrapText="1" readingOrder="1"/>
    </xf>
    <xf numFmtId="0" fontId="0" fillId="4" borderId="1" xfId="0" applyFont="1" applyFill="1" applyBorder="1" applyAlignment="1">
      <alignment horizontal="left" readingOrder="1"/>
    </xf>
    <xf numFmtId="0" fontId="0" fillId="0" borderId="1" xfId="0" applyFont="1" applyFill="1" applyBorder="1" applyAlignment="1">
      <alignment horizontal="left" wrapText="1" readingOrder="1"/>
    </xf>
    <xf numFmtId="0" fontId="2" fillId="0" borderId="1" xfId="0" applyFont="1" applyFill="1" applyBorder="1" applyAlignment="1">
      <alignment horizontal="left" readingOrder="1"/>
    </xf>
    <xf numFmtId="43" fontId="2" fillId="0" borderId="15" xfId="4" applyFont="1" applyBorder="1" applyAlignment="1">
      <alignment horizontal="left" readingOrder="1"/>
    </xf>
    <xf numFmtId="0" fontId="0" fillId="0" borderId="0" xfId="0" applyFont="1" applyFill="1" applyBorder="1" applyAlignment="1">
      <alignment horizontal="left"/>
    </xf>
    <xf numFmtId="166" fontId="0" fillId="0" borderId="1" xfId="0" applyNumberFormat="1" applyFill="1" applyBorder="1"/>
    <xf numFmtId="166" fontId="3" fillId="0" borderId="0" xfId="3" applyNumberFormat="1" applyFont="1" applyBorder="1" applyAlignment="1">
      <alignment horizontal="left"/>
    </xf>
    <xf numFmtId="166" fontId="10" fillId="0" borderId="0" xfId="3" applyNumberFormat="1" applyFont="1" applyBorder="1" applyAlignment="1">
      <alignment horizontal="left"/>
    </xf>
    <xf numFmtId="166" fontId="0" fillId="0" borderId="0" xfId="0" applyNumberFormat="1"/>
    <xf numFmtId="166" fontId="14" fillId="4" borderId="1" xfId="0" applyNumberFormat="1" applyFont="1" applyFill="1" applyBorder="1" applyAlignment="1">
      <alignment horizontal="left"/>
    </xf>
    <xf numFmtId="166" fontId="14" fillId="0" borderId="0" xfId="0" applyNumberFormat="1" applyFont="1"/>
    <xf numFmtId="0" fontId="0" fillId="0" borderId="1" xfId="0" applyFill="1" applyBorder="1" applyAlignment="1">
      <alignment horizontal="left"/>
    </xf>
    <xf numFmtId="0" fontId="0" fillId="0" borderId="1" xfId="0" applyNumberFormat="1" applyFill="1" applyBorder="1" applyAlignment="1">
      <alignment horizontal="left"/>
    </xf>
    <xf numFmtId="0" fontId="16" fillId="0" borderId="0" xfId="3" applyFont="1" applyAlignment="1">
      <alignment horizontal="left"/>
    </xf>
    <xf numFmtId="0" fontId="17" fillId="0" borderId="0" xfId="3" applyFont="1" applyFill="1" applyAlignment="1">
      <alignment horizontal="left"/>
    </xf>
    <xf numFmtId="0" fontId="16" fillId="0" borderId="0" xfId="0" applyFont="1"/>
    <xf numFmtId="0" fontId="18" fillId="0" borderId="0" xfId="0" applyFont="1"/>
    <xf numFmtId="0" fontId="0" fillId="0" borderId="1" xfId="4" applyNumberFormat="1" applyFont="1" applyFill="1" applyBorder="1" applyAlignment="1">
      <alignment horizontal="left"/>
    </xf>
    <xf numFmtId="0" fontId="0" fillId="0" borderId="1" xfId="0" applyFill="1" applyBorder="1" applyAlignment="1">
      <alignment wrapText="1"/>
    </xf>
    <xf numFmtId="0" fontId="0" fillId="0" borderId="1" xfId="0" applyFill="1" applyBorder="1" applyAlignment="1">
      <alignment horizontal="left" wrapText="1"/>
    </xf>
    <xf numFmtId="39" fontId="0" fillId="0" borderId="1" xfId="0" applyNumberFormat="1" applyFont="1" applyFill="1" applyBorder="1" applyAlignment="1"/>
    <xf numFmtId="0" fontId="19" fillId="0" borderId="1" xfId="0" applyFont="1" applyFill="1" applyBorder="1" applyAlignment="1">
      <alignment horizontal="center" wrapText="1"/>
    </xf>
    <xf numFmtId="0" fontId="0" fillId="0" borderId="1" xfId="0" applyFont="1" applyFill="1" applyBorder="1" applyAlignment="1"/>
    <xf numFmtId="7" fontId="19" fillId="0" borderId="1" xfId="0" applyNumberFormat="1" applyFont="1" applyFill="1" applyBorder="1" applyAlignment="1">
      <alignment horizontal="center" wrapText="1"/>
    </xf>
    <xf numFmtId="7" fontId="0" fillId="0" borderId="1" xfId="0" applyNumberFormat="1" applyFont="1" applyFill="1" applyBorder="1" applyAlignment="1"/>
    <xf numFmtId="8" fontId="20" fillId="0" borderId="9" xfId="0" applyNumberFormat="1" applyFont="1" applyBorder="1" applyAlignment="1">
      <alignment vertical="center" wrapText="1"/>
    </xf>
    <xf numFmtId="8" fontId="20" fillId="0" borderId="17" xfId="0" applyNumberFormat="1" applyFont="1" applyBorder="1" applyAlignment="1">
      <alignment vertical="center" wrapText="1"/>
    </xf>
    <xf numFmtId="0" fontId="13" fillId="0" borderId="0" xfId="6"/>
    <xf numFmtId="164" fontId="5" fillId="0" borderId="0" xfId="9" applyNumberFormat="1"/>
    <xf numFmtId="0" fontId="13" fillId="0" borderId="0" xfId="6" applyFill="1"/>
    <xf numFmtId="10" fontId="13" fillId="0" borderId="0" xfId="6" applyNumberFormat="1"/>
    <xf numFmtId="7" fontId="19" fillId="0" borderId="0" xfId="0" applyNumberFormat="1" applyFont="1" applyFill="1" applyBorder="1" applyAlignment="1">
      <alignment horizontal="center" wrapText="1"/>
    </xf>
    <xf numFmtId="7" fontId="0" fillId="0" borderId="0" xfId="0" applyNumberFormat="1" applyFont="1" applyFill="1" applyBorder="1" applyAlignment="1"/>
    <xf numFmtId="8" fontId="20" fillId="0" borderId="0" xfId="0" applyNumberFormat="1" applyFont="1" applyBorder="1" applyAlignment="1">
      <alignment vertical="center" wrapText="1"/>
    </xf>
    <xf numFmtId="0" fontId="0" fillId="0" borderId="1" xfId="0" quotePrefix="1" applyFill="1" applyBorder="1" applyAlignment="1">
      <alignment horizontal="left"/>
    </xf>
    <xf numFmtId="0" fontId="14" fillId="0" borderId="1" xfId="0" applyFont="1" applyBorder="1"/>
    <xf numFmtId="0" fontId="14" fillId="0" borderId="0" xfId="0" applyFont="1" applyAlignment="1">
      <alignment horizontal="left"/>
    </xf>
    <xf numFmtId="10" fontId="14" fillId="0" borderId="0" xfId="0" applyNumberFormat="1" applyFont="1"/>
    <xf numFmtId="166" fontId="14" fillId="0" borderId="1" xfId="0" applyNumberFormat="1" applyFont="1" applyBorder="1"/>
    <xf numFmtId="0" fontId="9" fillId="0" borderId="1" xfId="0" applyFont="1" applyFill="1" applyBorder="1"/>
    <xf numFmtId="10" fontId="14" fillId="0" borderId="1" xfId="0" applyNumberFormat="1" applyFont="1" applyBorder="1"/>
    <xf numFmtId="0" fontId="14" fillId="0" borderId="1" xfId="1" applyNumberFormat="1" applyFont="1" applyBorder="1" applyAlignment="1">
      <alignment horizontal="left" wrapText="1"/>
    </xf>
    <xf numFmtId="0" fontId="14" fillId="0" borderId="1" xfId="1" applyNumberFormat="1" applyFont="1" applyBorder="1"/>
    <xf numFmtId="166" fontId="14" fillId="0" borderId="1" xfId="0" applyNumberFormat="1" applyFont="1" applyFill="1" applyBorder="1"/>
    <xf numFmtId="43" fontId="9" fillId="0" borderId="1" xfId="4" applyFont="1" applyFill="1" applyBorder="1"/>
    <xf numFmtId="43" fontId="14" fillId="0" borderId="1" xfId="4" applyFont="1" applyBorder="1"/>
    <xf numFmtId="10" fontId="14" fillId="0" borderId="1" xfId="1" applyNumberFormat="1" applyFont="1" applyBorder="1"/>
    <xf numFmtId="165" fontId="14" fillId="0" borderId="0" xfId="0" applyNumberFormat="1" applyFont="1"/>
    <xf numFmtId="0" fontId="14" fillId="0" borderId="1" xfId="0" applyFont="1" applyFill="1" applyBorder="1"/>
    <xf numFmtId="3" fontId="14" fillId="0" borderId="1" xfId="4" applyNumberFormat="1" applyFont="1" applyFill="1" applyBorder="1"/>
    <xf numFmtId="0" fontId="14" fillId="0" borderId="1" xfId="0" quotePrefix="1" applyFont="1" applyFill="1" applyBorder="1" applyAlignment="1">
      <alignment horizontal="left"/>
    </xf>
    <xf numFmtId="0" fontId="14" fillId="0" borderId="1" xfId="0" applyFont="1" applyFill="1" applyBorder="1" applyAlignment="1">
      <alignment horizontal="left"/>
    </xf>
    <xf numFmtId="0" fontId="14" fillId="0" borderId="1" xfId="0" applyFont="1" applyFill="1" applyBorder="1" applyAlignment="1">
      <alignment wrapText="1"/>
    </xf>
    <xf numFmtId="3" fontId="14" fillId="0" borderId="1" xfId="4" applyNumberFormat="1" applyFont="1" applyBorder="1"/>
    <xf numFmtId="37" fontId="9" fillId="0" borderId="1" xfId="4" applyNumberFormat="1" applyFont="1" applyFill="1" applyBorder="1"/>
    <xf numFmtId="0" fontId="14" fillId="0" borderId="0" xfId="0" applyFont="1" applyAlignment="1">
      <alignment wrapText="1"/>
    </xf>
    <xf numFmtId="10" fontId="14" fillId="0" borderId="0" xfId="0" applyNumberFormat="1" applyFont="1" applyBorder="1"/>
    <xf numFmtId="166" fontId="14" fillId="0" borderId="0" xfId="0" applyNumberFormat="1" applyFont="1" applyBorder="1"/>
    <xf numFmtId="0" fontId="14" fillId="0" borderId="0" xfId="0" applyFont="1" applyFill="1" applyBorder="1"/>
    <xf numFmtId="0" fontId="14" fillId="0" borderId="0" xfId="0" applyFont="1" applyFill="1"/>
    <xf numFmtId="39" fontId="14" fillId="0" borderId="0" xfId="0" applyNumberFormat="1" applyFont="1"/>
    <xf numFmtId="0" fontId="14" fillId="0" borderId="0" xfId="0" applyFont="1" applyFill="1" applyAlignment="1">
      <alignment wrapText="1"/>
    </xf>
    <xf numFmtId="0" fontId="14" fillId="0" borderId="0" xfId="1" applyNumberFormat="1" applyFont="1"/>
    <xf numFmtId="0" fontId="14" fillId="0" borderId="0" xfId="0" applyFont="1" applyFill="1" applyAlignment="1">
      <alignment horizontal="left"/>
    </xf>
    <xf numFmtId="43" fontId="9" fillId="0" borderId="0" xfId="4" applyFont="1" applyFill="1" applyBorder="1"/>
    <xf numFmtId="165" fontId="14" fillId="0" borderId="0" xfId="0" applyNumberFormat="1" applyFont="1" applyFill="1"/>
    <xf numFmtId="0" fontId="14" fillId="0" borderId="0" xfId="0" applyFont="1" applyFill="1" applyBorder="1" applyAlignment="1">
      <alignment wrapText="1"/>
    </xf>
    <xf numFmtId="0" fontId="14" fillId="0" borderId="0" xfId="1" applyNumberFormat="1" applyFont="1" applyBorder="1"/>
    <xf numFmtId="3" fontId="14" fillId="0" borderId="0" xfId="4" applyNumberFormat="1" applyFont="1" applyBorder="1"/>
    <xf numFmtId="43" fontId="14" fillId="0" borderId="0" xfId="4" applyFont="1" applyBorder="1"/>
    <xf numFmtId="37" fontId="9" fillId="0" borderId="0" xfId="4" applyNumberFormat="1" applyFont="1" applyFill="1" applyBorder="1"/>
    <xf numFmtId="0" fontId="15" fillId="0" borderId="0" xfId="0" applyFont="1" applyFill="1" applyBorder="1"/>
    <xf numFmtId="0" fontId="15" fillId="0" borderId="0" xfId="0" applyFont="1" applyBorder="1"/>
    <xf numFmtId="39" fontId="15" fillId="0" borderId="0" xfId="0" applyNumberFormat="1" applyFont="1" applyBorder="1"/>
    <xf numFmtId="0" fontId="15" fillId="0" borderId="0" xfId="0" applyFont="1" applyBorder="1" applyAlignment="1">
      <alignment wrapText="1"/>
    </xf>
    <xf numFmtId="166" fontId="15" fillId="0" borderId="0" xfId="0" applyNumberFormat="1" applyFont="1" applyBorder="1"/>
    <xf numFmtId="0" fontId="2" fillId="0" borderId="0" xfId="0" applyFont="1" applyFill="1" applyBorder="1" applyAlignment="1">
      <alignment horizontal="center"/>
    </xf>
    <xf numFmtId="7" fontId="13" fillId="0" borderId="0" xfId="6" applyNumberFormat="1"/>
    <xf numFmtId="166" fontId="14" fillId="0" borderId="1" xfId="1" applyNumberFormat="1" applyFont="1" applyBorder="1"/>
    <xf numFmtId="166" fontId="14" fillId="0" borderId="0" xfId="0" applyNumberFormat="1" applyFont="1" applyFill="1"/>
    <xf numFmtId="0" fontId="14" fillId="3" borderId="1" xfId="0" applyFont="1" applyFill="1" applyBorder="1"/>
    <xf numFmtId="0" fontId="14" fillId="3" borderId="1" xfId="1" applyNumberFormat="1" applyFont="1" applyFill="1" applyBorder="1" applyAlignment="1">
      <alignment horizontal="left" wrapText="1"/>
    </xf>
    <xf numFmtId="0" fontId="14" fillId="3" borderId="1" xfId="1" applyNumberFormat="1" applyFont="1" applyFill="1" applyBorder="1"/>
    <xf numFmtId="3" fontId="14" fillId="3" borderId="1" xfId="4" applyNumberFormat="1" applyFont="1" applyFill="1" applyBorder="1"/>
    <xf numFmtId="166" fontId="14" fillId="3" borderId="1" xfId="0" applyNumberFormat="1" applyFont="1" applyFill="1" applyBorder="1"/>
    <xf numFmtId="43" fontId="9" fillId="3" borderId="1" xfId="4" applyFont="1" applyFill="1" applyBorder="1"/>
    <xf numFmtId="43" fontId="14" fillId="3" borderId="1" xfId="4" applyFont="1" applyFill="1" applyBorder="1"/>
    <xf numFmtId="10" fontId="14" fillId="3" borderId="1" xfId="0" applyNumberFormat="1" applyFont="1" applyFill="1" applyBorder="1"/>
    <xf numFmtId="10" fontId="14" fillId="3" borderId="1" xfId="1" applyNumberFormat="1" applyFont="1" applyFill="1" applyBorder="1"/>
    <xf numFmtId="0" fontId="14" fillId="3" borderId="1" xfId="0" applyFont="1" applyFill="1" applyBorder="1" applyAlignment="1">
      <alignment wrapText="1"/>
    </xf>
    <xf numFmtId="0" fontId="18" fillId="3" borderId="1" xfId="0" applyFont="1" applyFill="1" applyBorder="1"/>
    <xf numFmtId="0" fontId="18" fillId="3" borderId="1" xfId="1" applyNumberFormat="1" applyFont="1" applyFill="1" applyBorder="1" applyAlignment="1">
      <alignment horizontal="left" wrapText="1"/>
    </xf>
    <xf numFmtId="0" fontId="18" fillId="3" borderId="1" xfId="1" applyNumberFormat="1" applyFont="1" applyFill="1" applyBorder="1"/>
    <xf numFmtId="3" fontId="18" fillId="3" borderId="1" xfId="4" applyNumberFormat="1" applyFont="1" applyFill="1" applyBorder="1"/>
    <xf numFmtId="166" fontId="18" fillId="3" borderId="1" xfId="1" applyNumberFormat="1" applyFont="1" applyFill="1" applyBorder="1"/>
    <xf numFmtId="43" fontId="18" fillId="3" borderId="1" xfId="4" applyFont="1" applyFill="1" applyBorder="1"/>
    <xf numFmtId="10" fontId="18" fillId="3" borderId="1" xfId="0" applyNumberFormat="1" applyFont="1" applyFill="1" applyBorder="1"/>
    <xf numFmtId="10" fontId="18" fillId="3" borderId="1" xfId="1" applyNumberFormat="1" applyFont="1" applyFill="1" applyBorder="1"/>
    <xf numFmtId="39" fontId="18" fillId="3" borderId="1" xfId="4" applyNumberFormat="1" applyFont="1" applyFill="1" applyBorder="1"/>
    <xf numFmtId="39" fontId="14" fillId="0" borderId="1" xfId="4" applyNumberFormat="1" applyFont="1" applyFill="1" applyBorder="1"/>
    <xf numFmtId="39" fontId="14" fillId="3" borderId="1" xfId="4" applyNumberFormat="1" applyFont="1" applyFill="1" applyBorder="1"/>
    <xf numFmtId="39" fontId="9" fillId="0" borderId="1" xfId="4" applyNumberFormat="1" applyFont="1" applyFill="1" applyBorder="1"/>
    <xf numFmtId="39" fontId="14" fillId="0" borderId="1" xfId="4" applyNumberFormat="1" applyFont="1" applyBorder="1"/>
    <xf numFmtId="39" fontId="14" fillId="0" borderId="0" xfId="4" applyNumberFormat="1" applyFont="1" applyBorder="1"/>
    <xf numFmtId="39" fontId="9" fillId="3" borderId="1" xfId="4" applyNumberFormat="1" applyFont="1" applyFill="1" applyBorder="1"/>
    <xf numFmtId="5" fontId="14" fillId="0" borderId="1" xfId="0" applyNumberFormat="1" applyFont="1" applyBorder="1"/>
    <xf numFmtId="7" fontId="14" fillId="0" borderId="0" xfId="0" applyNumberFormat="1" applyFont="1" applyAlignment="1">
      <alignment horizontal="left"/>
    </xf>
    <xf numFmtId="7" fontId="14" fillId="0" borderId="0" xfId="0" applyNumberFormat="1" applyFont="1" applyAlignment="1">
      <alignment horizontal="right"/>
    </xf>
    <xf numFmtId="7" fontId="14" fillId="0" borderId="0" xfId="0" applyNumberFormat="1" applyFont="1" applyFill="1" applyAlignment="1">
      <alignment horizontal="right"/>
    </xf>
    <xf numFmtId="7" fontId="14" fillId="0" borderId="1" xfId="0" applyNumberFormat="1" applyFont="1" applyBorder="1" applyAlignment="1">
      <alignment horizontal="right"/>
    </xf>
    <xf numFmtId="7" fontId="14" fillId="3" borderId="1" xfId="0" applyNumberFormat="1" applyFont="1" applyFill="1" applyBorder="1" applyAlignment="1">
      <alignment horizontal="right"/>
    </xf>
    <xf numFmtId="5" fontId="14" fillId="0" borderId="0" xfId="0" applyNumberFormat="1" applyFont="1"/>
    <xf numFmtId="5" fontId="14" fillId="3" borderId="1" xfId="0" applyNumberFormat="1" applyFont="1" applyFill="1" applyBorder="1"/>
    <xf numFmtId="5" fontId="9" fillId="0" borderId="1" xfId="4" applyNumberFormat="1" applyFont="1" applyFill="1" applyBorder="1"/>
    <xf numFmtId="5" fontId="14" fillId="0" borderId="0" xfId="0" applyNumberFormat="1" applyFont="1" applyBorder="1"/>
    <xf numFmtId="5" fontId="14" fillId="0" borderId="0" xfId="0" applyNumberFormat="1" applyFont="1" applyFill="1"/>
    <xf numFmtId="5" fontId="14" fillId="0" borderId="0" xfId="4" applyNumberFormat="1" applyFont="1" applyBorder="1"/>
    <xf numFmtId="0" fontId="14" fillId="0" borderId="3" xfId="1" applyNumberFormat="1" applyFont="1" applyBorder="1"/>
    <xf numFmtId="43" fontId="9" fillId="0" borderId="3" xfId="4" applyFont="1" applyFill="1" applyBorder="1"/>
    <xf numFmtId="10" fontId="14" fillId="0" borderId="3" xfId="1" applyNumberFormat="1" applyFont="1" applyBorder="1"/>
    <xf numFmtId="10" fontId="14" fillId="0" borderId="3" xfId="0" applyNumberFormat="1" applyFont="1" applyBorder="1"/>
    <xf numFmtId="5" fontId="14" fillId="0" borderId="3" xfId="0" applyNumberFormat="1" applyFont="1" applyBorder="1"/>
    <xf numFmtId="0" fontId="14" fillId="0" borderId="27" xfId="0" applyFont="1" applyBorder="1" applyAlignment="1">
      <alignment wrapText="1"/>
    </xf>
    <xf numFmtId="0" fontId="9" fillId="0" borderId="28" xfId="6" applyFont="1" applyBorder="1"/>
    <xf numFmtId="0" fontId="9" fillId="0" borderId="8" xfId="6" applyFont="1" applyBorder="1"/>
    <xf numFmtId="0" fontId="3" fillId="0" borderId="8" xfId="6" applyFont="1" applyBorder="1" applyAlignment="1">
      <alignment horizontal="center" wrapText="1"/>
    </xf>
    <xf numFmtId="0" fontId="9" fillId="0" borderId="8" xfId="6" applyFont="1" applyBorder="1" applyAlignment="1">
      <alignment horizontal="left"/>
    </xf>
    <xf numFmtId="10" fontId="9" fillId="0" borderId="8" xfId="6" applyNumberFormat="1" applyFont="1" applyBorder="1" applyAlignment="1">
      <alignment horizontal="left"/>
    </xf>
    <xf numFmtId="0" fontId="9" fillId="0" borderId="8" xfId="6" applyFont="1" applyBorder="1" applyAlignment="1">
      <alignment wrapText="1"/>
    </xf>
    <xf numFmtId="164" fontId="9" fillId="0" borderId="8" xfId="9" applyNumberFormat="1" applyFont="1" applyBorder="1"/>
    <xf numFmtId="7" fontId="9" fillId="0" borderId="8" xfId="6" applyNumberFormat="1" applyFont="1" applyBorder="1"/>
    <xf numFmtId="0" fontId="9" fillId="0" borderId="29" xfId="6" applyFont="1" applyBorder="1"/>
    <xf numFmtId="0" fontId="9" fillId="0" borderId="25" xfId="6" applyFont="1" applyBorder="1"/>
    <xf numFmtId="0" fontId="9" fillId="0" borderId="0" xfId="6" applyFont="1"/>
    <xf numFmtId="7" fontId="9" fillId="0" borderId="0" xfId="6" applyNumberFormat="1" applyFont="1"/>
    <xf numFmtId="0" fontId="9" fillId="0" borderId="20" xfId="6" applyFont="1" applyBorder="1" applyAlignment="1">
      <alignment horizontal="center"/>
    </xf>
    <xf numFmtId="10" fontId="9" fillId="0" borderId="20" xfId="6" applyNumberFormat="1" applyFont="1" applyBorder="1" applyAlignment="1">
      <alignment horizontal="center"/>
    </xf>
    <xf numFmtId="164" fontId="9" fillId="0" borderId="20" xfId="9" applyNumberFormat="1" applyFont="1" applyBorder="1" applyAlignment="1">
      <alignment horizontal="center"/>
    </xf>
    <xf numFmtId="7" fontId="9" fillId="0" borderId="20" xfId="9" applyNumberFormat="1" applyFont="1" applyBorder="1" applyAlignment="1">
      <alignment horizontal="center"/>
    </xf>
    <xf numFmtId="0" fontId="9" fillId="0" borderId="21" xfId="6" applyFont="1" applyBorder="1" applyAlignment="1">
      <alignment horizontal="center"/>
    </xf>
    <xf numFmtId="0" fontId="9" fillId="0" borderId="2" xfId="6" applyFont="1" applyBorder="1" applyAlignment="1">
      <alignment horizontal="center" wrapText="1"/>
    </xf>
    <xf numFmtId="0" fontId="9" fillId="0" borderId="1" xfId="6" applyFont="1" applyBorder="1" applyAlignment="1">
      <alignment horizontal="center" wrapText="1"/>
    </xf>
    <xf numFmtId="10" fontId="9" fillId="0" borderId="1" xfId="6" applyNumberFormat="1" applyFont="1" applyBorder="1" applyAlignment="1">
      <alignment horizontal="center" wrapText="1"/>
    </xf>
    <xf numFmtId="7" fontId="9" fillId="0" borderId="1" xfId="6" applyNumberFormat="1" applyFont="1" applyBorder="1" applyAlignment="1">
      <alignment horizontal="center" wrapText="1"/>
    </xf>
    <xf numFmtId="0" fontId="9" fillId="0" borderId="21" xfId="6" applyFont="1" applyBorder="1"/>
    <xf numFmtId="0" fontId="30" fillId="0" borderId="2" xfId="6" applyFont="1" applyBorder="1" applyAlignment="1">
      <alignment horizontal="center"/>
    </xf>
    <xf numFmtId="44" fontId="31" fillId="0" borderId="1" xfId="5" applyFont="1" applyBorder="1" applyAlignment="1">
      <alignment horizontal="center"/>
    </xf>
    <xf numFmtId="44" fontId="31" fillId="0" borderId="7" xfId="5" applyFont="1" applyBorder="1" applyAlignment="1">
      <alignment horizontal="center"/>
    </xf>
    <xf numFmtId="39" fontId="9" fillId="0" borderId="1" xfId="10" applyNumberFormat="1" applyFont="1" applyFill="1" applyBorder="1"/>
    <xf numFmtId="5" fontId="9" fillId="0" borderId="1" xfId="6" applyNumberFormat="1" applyFont="1" applyFill="1" applyBorder="1" applyAlignment="1"/>
    <xf numFmtId="5" fontId="9" fillId="0" borderId="1" xfId="9" applyNumberFormat="1" applyFont="1" applyFill="1" applyBorder="1" applyAlignment="1"/>
    <xf numFmtId="7" fontId="9" fillId="0" borderId="1" xfId="6" applyNumberFormat="1" applyFont="1" applyFill="1" applyBorder="1" applyAlignment="1"/>
    <xf numFmtId="10" fontId="9" fillId="0" borderId="1" xfId="9" applyNumberFormat="1" applyFont="1" applyFill="1" applyBorder="1" applyAlignment="1"/>
    <xf numFmtId="3" fontId="9" fillId="0" borderId="21" xfId="6" applyNumberFormat="1" applyFont="1" applyFill="1" applyBorder="1"/>
    <xf numFmtId="3" fontId="9" fillId="0" borderId="2" xfId="6" applyNumberFormat="1" applyFont="1" applyFill="1" applyBorder="1"/>
    <xf numFmtId="3" fontId="9" fillId="0" borderId="1" xfId="6" applyNumberFormat="1" applyFont="1" applyFill="1" applyBorder="1"/>
    <xf numFmtId="5" fontId="9" fillId="0" borderId="1" xfId="6" applyNumberFormat="1" applyFont="1" applyFill="1" applyBorder="1"/>
    <xf numFmtId="10" fontId="9" fillId="0" borderId="1" xfId="10" applyNumberFormat="1" applyFont="1" applyBorder="1"/>
    <xf numFmtId="3" fontId="9" fillId="0" borderId="1" xfId="6" applyNumberFormat="1" applyFont="1" applyFill="1" applyBorder="1" applyAlignment="1"/>
    <xf numFmtId="164" fontId="9" fillId="0" borderId="1" xfId="9" applyNumberFormat="1" applyFont="1" applyFill="1" applyBorder="1" applyAlignment="1"/>
    <xf numFmtId="0" fontId="9" fillId="0" borderId="22" xfId="6" applyFont="1" applyFill="1" applyBorder="1"/>
    <xf numFmtId="0" fontId="9" fillId="0" borderId="24" xfId="6" applyFont="1" applyFill="1" applyBorder="1"/>
    <xf numFmtId="0" fontId="9" fillId="0" borderId="23" xfId="6" applyFont="1" applyFill="1" applyBorder="1"/>
    <xf numFmtId="5" fontId="9" fillId="0" borderId="23" xfId="6" applyNumberFormat="1" applyFont="1" applyFill="1" applyBorder="1" applyAlignment="1"/>
    <xf numFmtId="37" fontId="9" fillId="0" borderId="23" xfId="6" applyNumberFormat="1" applyFont="1" applyFill="1" applyBorder="1" applyAlignment="1"/>
    <xf numFmtId="10" fontId="9" fillId="0" borderId="23" xfId="6" applyNumberFormat="1" applyFont="1" applyFill="1" applyBorder="1"/>
    <xf numFmtId="7" fontId="9" fillId="0" borderId="23" xfId="6" applyNumberFormat="1" applyFont="1" applyFill="1" applyBorder="1" applyAlignment="1"/>
    <xf numFmtId="10" fontId="9" fillId="0" borderId="23" xfId="9" applyNumberFormat="1" applyFont="1" applyFill="1" applyBorder="1" applyAlignment="1"/>
    <xf numFmtId="0" fontId="9" fillId="0" borderId="0" xfId="6" applyFont="1" applyFill="1"/>
    <xf numFmtId="10" fontId="9" fillId="0" borderId="0" xfId="6" applyNumberFormat="1" applyFont="1" applyFill="1"/>
    <xf numFmtId="164" fontId="9" fillId="0" borderId="0" xfId="9" applyNumberFormat="1" applyFont="1" applyFill="1"/>
    <xf numFmtId="7" fontId="9" fillId="0" borderId="0" xfId="6" applyNumberFormat="1" applyFont="1" applyFill="1"/>
    <xf numFmtId="0" fontId="30" fillId="0" borderId="21" xfId="6" applyFont="1" applyBorder="1" applyAlignment="1">
      <alignment horizontal="center"/>
    </xf>
    <xf numFmtId="0" fontId="3" fillId="0" borderId="0" xfId="6" applyFont="1" applyBorder="1" applyAlignment="1">
      <alignment horizontal="center"/>
    </xf>
    <xf numFmtId="0" fontId="3" fillId="0" borderId="0" xfId="6" applyFont="1" applyBorder="1" applyAlignment="1">
      <alignment horizontal="left"/>
    </xf>
    <xf numFmtId="0" fontId="9" fillId="0" borderId="0" xfId="6" applyFont="1" applyBorder="1"/>
    <xf numFmtId="0" fontId="3" fillId="0" borderId="0" xfId="6" applyFont="1" applyBorder="1"/>
    <xf numFmtId="10" fontId="9" fillId="0" borderId="0" xfId="6" applyNumberFormat="1" applyFont="1" applyBorder="1" applyAlignment="1">
      <alignment horizontal="left"/>
    </xf>
    <xf numFmtId="0" fontId="9" fillId="0" borderId="0" xfId="6" applyFont="1" applyBorder="1" applyAlignment="1">
      <alignment wrapText="1"/>
    </xf>
    <xf numFmtId="167" fontId="9" fillId="0" borderId="0" xfId="9" applyNumberFormat="1" applyFont="1" applyBorder="1"/>
    <xf numFmtId="7" fontId="9" fillId="0" borderId="0" xfId="6" applyNumberFormat="1" applyFont="1" applyBorder="1"/>
    <xf numFmtId="0" fontId="9" fillId="0" borderId="27" xfId="6" applyFont="1" applyBorder="1"/>
    <xf numFmtId="0" fontId="3" fillId="0" borderId="8" xfId="6" applyFont="1" applyBorder="1" applyAlignment="1">
      <alignment horizontal="center"/>
    </xf>
    <xf numFmtId="0" fontId="3" fillId="0" borderId="8" xfId="6" applyFont="1" applyBorder="1" applyAlignment="1">
      <alignment horizontal="left"/>
    </xf>
    <xf numFmtId="0" fontId="3" fillId="0" borderId="8" xfId="6" applyFont="1" applyBorder="1"/>
    <xf numFmtId="167" fontId="9" fillId="0" borderId="8" xfId="9" applyNumberFormat="1" applyFont="1" applyBorder="1"/>
    <xf numFmtId="0" fontId="3" fillId="0" borderId="0" xfId="6" applyFont="1" applyAlignment="1">
      <alignment horizontal="center" wrapText="1"/>
    </xf>
    <xf numFmtId="0" fontId="9" fillId="0" borderId="0" xfId="6" applyFont="1" applyAlignment="1">
      <alignment wrapText="1"/>
    </xf>
    <xf numFmtId="164" fontId="9" fillId="0" borderId="0" xfId="9" applyNumberFormat="1" applyFont="1"/>
    <xf numFmtId="0" fontId="3" fillId="0" borderId="0" xfId="6" applyFont="1" applyAlignment="1">
      <alignment horizontal="center"/>
    </xf>
    <xf numFmtId="0" fontId="9" fillId="0" borderId="0" xfId="6" applyFont="1" applyFill="1" applyBorder="1"/>
    <xf numFmtId="5" fontId="9" fillId="0" borderId="0" xfId="6" applyNumberFormat="1" applyFont="1" applyFill="1" applyBorder="1" applyAlignment="1"/>
    <xf numFmtId="37" fontId="9" fillId="0" borderId="0" xfId="6" applyNumberFormat="1" applyFont="1" applyFill="1" applyBorder="1" applyAlignment="1"/>
    <xf numFmtId="10" fontId="9" fillId="0" borderId="0" xfId="6" applyNumberFormat="1" applyFont="1" applyFill="1" applyBorder="1"/>
    <xf numFmtId="7" fontId="9" fillId="0" borderId="0" xfId="6" applyNumberFormat="1" applyFont="1" applyFill="1" applyBorder="1" applyAlignment="1"/>
    <xf numFmtId="10" fontId="9" fillId="0" borderId="0" xfId="9" applyNumberFormat="1" applyFont="1" applyFill="1" applyBorder="1" applyAlignment="1"/>
    <xf numFmtId="10" fontId="9" fillId="0" borderId="0" xfId="6" applyNumberFormat="1" applyFont="1"/>
    <xf numFmtId="0" fontId="32" fillId="0" borderId="0" xfId="6" applyFont="1"/>
    <xf numFmtId="0" fontId="28" fillId="0" borderId="0" xfId="0" applyFont="1" applyAlignment="1">
      <alignment horizontal="center" wrapText="1"/>
    </xf>
    <xf numFmtId="0" fontId="0" fillId="0" borderId="0" xfId="0" applyAlignment="1">
      <alignment horizontal="center"/>
    </xf>
    <xf numFmtId="0" fontId="26" fillId="0" borderId="0" xfId="0" applyFont="1" applyAlignment="1"/>
    <xf numFmtId="0" fontId="0" fillId="0" borderId="0" xfId="0" applyAlignment="1">
      <alignment horizontal="center" wrapText="1"/>
    </xf>
    <xf numFmtId="0" fontId="14" fillId="0" borderId="3" xfId="1" applyNumberFormat="1" applyFont="1" applyBorder="1" applyAlignment="1">
      <alignment horizontal="left" wrapText="1"/>
    </xf>
    <xf numFmtId="0" fontId="0" fillId="0" borderId="5" xfId="0" applyFont="1" applyFill="1" applyBorder="1"/>
    <xf numFmtId="0" fontId="0" fillId="0" borderId="1" xfId="1" applyNumberFormat="1" applyFont="1" applyBorder="1" applyAlignment="1">
      <alignment horizontal="left" wrapText="1"/>
    </xf>
    <xf numFmtId="5" fontId="0" fillId="0" borderId="1" xfId="0" applyNumberFormat="1" applyFont="1" applyBorder="1"/>
    <xf numFmtId="0" fontId="12" fillId="0" borderId="0" xfId="6" applyFont="1" applyBorder="1" applyAlignment="1">
      <alignment horizontal="center"/>
    </xf>
    <xf numFmtId="0" fontId="12" fillId="0" borderId="0" xfId="0" applyFont="1" applyBorder="1" applyAlignment="1">
      <alignment horizontal="center"/>
    </xf>
    <xf numFmtId="0" fontId="15" fillId="0" borderId="1" xfId="0" applyFont="1" applyFill="1" applyBorder="1" applyAlignment="1">
      <alignment wrapText="1"/>
    </xf>
    <xf numFmtId="0" fontId="14" fillId="0" borderId="3" xfId="0" applyFont="1" applyBorder="1"/>
    <xf numFmtId="166" fontId="14" fillId="0" borderId="3" xfId="1" applyNumberFormat="1" applyFont="1" applyBorder="1"/>
    <xf numFmtId="39" fontId="9" fillId="3" borderId="3" xfId="4" applyNumberFormat="1" applyFont="1" applyFill="1" applyBorder="1"/>
    <xf numFmtId="7" fontId="14" fillId="0" borderId="3" xfId="0" applyNumberFormat="1" applyFont="1" applyBorder="1"/>
    <xf numFmtId="5" fontId="14" fillId="0" borderId="3" xfId="0" applyNumberFormat="1" applyFont="1" applyBorder="1" applyAlignment="1"/>
    <xf numFmtId="5" fontId="14" fillId="0" borderId="1" xfId="0" applyNumberFormat="1" applyFont="1" applyBorder="1" applyAlignment="1"/>
    <xf numFmtId="5" fontId="18" fillId="3" borderId="1" xfId="0" applyNumberFormat="1" applyFont="1" applyFill="1" applyBorder="1" applyAlignment="1"/>
    <xf numFmtId="5" fontId="14" fillId="3" borderId="1" xfId="0" applyNumberFormat="1" applyFont="1" applyFill="1" applyBorder="1" applyAlignment="1"/>
    <xf numFmtId="5" fontId="9" fillId="0" borderId="1" xfId="4" applyNumberFormat="1" applyFont="1" applyFill="1" applyBorder="1" applyAlignment="1"/>
    <xf numFmtId="5" fontId="9" fillId="0" borderId="0" xfId="0" applyNumberFormat="1" applyFont="1" applyFill="1"/>
    <xf numFmtId="5" fontId="9" fillId="0" borderId="0" xfId="4" applyNumberFormat="1" applyFont="1" applyFill="1" applyBorder="1" applyAlignment="1"/>
    <xf numFmtId="5" fontId="3" fillId="0" borderId="0" xfId="0" applyNumberFormat="1" applyFont="1" applyFill="1" applyBorder="1"/>
    <xf numFmtId="5" fontId="18" fillId="3" borderId="1" xfId="0" applyNumberFormat="1" applyFont="1" applyFill="1" applyBorder="1"/>
    <xf numFmtId="5" fontId="14" fillId="3" borderId="1" xfId="4" applyNumberFormat="1" applyFont="1" applyFill="1" applyBorder="1"/>
    <xf numFmtId="5" fontId="14" fillId="0" borderId="0" xfId="0" applyNumberFormat="1" applyFont="1" applyBorder="1" applyAlignment="1"/>
    <xf numFmtId="5" fontId="9" fillId="0" borderId="0" xfId="4" applyNumberFormat="1" applyFont="1" applyFill="1" applyBorder="1"/>
    <xf numFmtId="5" fontId="15" fillId="0" borderId="0" xfId="0" applyNumberFormat="1" applyFont="1" applyFill="1" applyBorder="1"/>
    <xf numFmtId="5" fontId="15" fillId="0" borderId="0" xfId="0" applyNumberFormat="1" applyFont="1" applyBorder="1"/>
    <xf numFmtId="5" fontId="14" fillId="0" borderId="3" xfId="1" applyNumberFormat="1" applyFont="1" applyBorder="1"/>
    <xf numFmtId="5" fontId="14" fillId="0" borderId="1" xfId="1" applyNumberFormat="1" applyFont="1" applyBorder="1"/>
    <xf numFmtId="39" fontId="9" fillId="0" borderId="0" xfId="4" applyNumberFormat="1" applyFont="1" applyFill="1" applyBorder="1"/>
    <xf numFmtId="7" fontId="14" fillId="0" borderId="0" xfId="0" applyNumberFormat="1" applyFont="1" applyBorder="1" applyAlignment="1">
      <alignment horizontal="right"/>
    </xf>
    <xf numFmtId="0" fontId="14" fillId="0" borderId="0" xfId="1" applyNumberFormat="1" applyFont="1" applyFill="1" applyBorder="1"/>
    <xf numFmtId="3" fontId="14" fillId="0" borderId="0" xfId="4" applyNumberFormat="1" applyFont="1" applyFill="1" applyBorder="1"/>
    <xf numFmtId="39" fontId="14" fillId="0" borderId="0" xfId="4" applyNumberFormat="1" applyFont="1" applyFill="1" applyBorder="1"/>
    <xf numFmtId="166" fontId="14" fillId="0" borderId="0" xfId="0" applyNumberFormat="1" applyFont="1" applyFill="1" applyBorder="1"/>
    <xf numFmtId="0" fontId="9" fillId="0" borderId="0" xfId="0" applyFont="1" applyFill="1" applyBorder="1"/>
    <xf numFmtId="43" fontId="14" fillId="0" borderId="0" xfId="4" applyFont="1" applyFill="1" applyBorder="1"/>
    <xf numFmtId="10" fontId="14" fillId="0" borderId="0" xfId="1" applyNumberFormat="1" applyFont="1" applyFill="1" applyBorder="1"/>
    <xf numFmtId="5" fontId="14" fillId="0" borderId="0" xfId="0" applyNumberFormat="1" applyFont="1" applyFill="1" applyBorder="1" applyAlignment="1"/>
    <xf numFmtId="5" fontId="14" fillId="0" borderId="0" xfId="4" applyNumberFormat="1" applyFont="1" applyFill="1" applyBorder="1"/>
    <xf numFmtId="0" fontId="14" fillId="0" borderId="30" xfId="0" applyFont="1" applyFill="1" applyBorder="1"/>
    <xf numFmtId="0" fontId="14" fillId="0" borderId="30" xfId="0" applyFont="1" applyFill="1" applyBorder="1" applyAlignment="1">
      <alignment wrapText="1"/>
    </xf>
    <xf numFmtId="0" fontId="14" fillId="0" borderId="30" xfId="1" applyNumberFormat="1" applyFont="1" applyBorder="1"/>
    <xf numFmtId="3" fontId="14" fillId="0" borderId="30" xfId="4" applyNumberFormat="1" applyFont="1" applyBorder="1"/>
    <xf numFmtId="39" fontId="9" fillId="0" borderId="30" xfId="4" applyNumberFormat="1" applyFont="1" applyFill="1" applyBorder="1"/>
    <xf numFmtId="166" fontId="14" fillId="0" borderId="30" xfId="0" applyNumberFormat="1" applyFont="1" applyBorder="1"/>
    <xf numFmtId="43" fontId="9" fillId="0" borderId="30" xfId="4" applyFont="1" applyFill="1" applyBorder="1"/>
    <xf numFmtId="43" fontId="14" fillId="0" borderId="30" xfId="4" applyFont="1" applyBorder="1"/>
    <xf numFmtId="10" fontId="14" fillId="0" borderId="30" xfId="0" applyNumberFormat="1" applyFont="1" applyBorder="1"/>
    <xf numFmtId="5" fontId="9" fillId="0" borderId="30" xfId="4" applyNumberFormat="1" applyFont="1" applyFill="1" applyBorder="1" applyAlignment="1"/>
    <xf numFmtId="5" fontId="14" fillId="0" borderId="30" xfId="0" applyNumberFormat="1" applyFont="1" applyBorder="1" applyAlignment="1"/>
    <xf numFmtId="5" fontId="9" fillId="0" borderId="30" xfId="4" applyNumberFormat="1" applyFont="1" applyFill="1" applyBorder="1"/>
    <xf numFmtId="37" fontId="9" fillId="0" borderId="30" xfId="4" applyNumberFormat="1" applyFont="1" applyFill="1" applyBorder="1"/>
    <xf numFmtId="7" fontId="14" fillId="0" borderId="30" xfId="0" applyNumberFormat="1" applyFont="1" applyBorder="1" applyAlignment="1">
      <alignment horizontal="right"/>
    </xf>
    <xf numFmtId="0" fontId="15" fillId="0" borderId="6" xfId="0" applyFont="1" applyFill="1" applyBorder="1"/>
    <xf numFmtId="0" fontId="15" fillId="0" borderId="6" xfId="0" applyFont="1" applyBorder="1"/>
    <xf numFmtId="39" fontId="15" fillId="0" borderId="6" xfId="0" applyNumberFormat="1" applyFont="1" applyBorder="1"/>
    <xf numFmtId="166" fontId="15" fillId="0" borderId="6" xfId="0" applyNumberFormat="1" applyFont="1" applyBorder="1"/>
    <xf numFmtId="0" fontId="15" fillId="0" borderId="6" xfId="0" applyFont="1" applyBorder="1" applyAlignment="1">
      <alignment wrapText="1"/>
    </xf>
    <xf numFmtId="5" fontId="3" fillId="0" borderId="6" xfId="0" applyNumberFormat="1" applyFont="1" applyFill="1" applyBorder="1"/>
    <xf numFmtId="5" fontId="15" fillId="0" borderId="6" xfId="0" applyNumberFormat="1" applyFont="1" applyFill="1" applyBorder="1"/>
    <xf numFmtId="5" fontId="15" fillId="0" borderId="6" xfId="0" applyNumberFormat="1" applyFont="1" applyBorder="1"/>
    <xf numFmtId="10" fontId="14" fillId="0" borderId="6" xfId="0" applyNumberFormat="1" applyFont="1" applyBorder="1"/>
    <xf numFmtId="5" fontId="14" fillId="0" borderId="6" xfId="0" applyNumberFormat="1" applyFont="1" applyBorder="1"/>
    <xf numFmtId="7" fontId="14" fillId="0" borderId="6" xfId="0" applyNumberFormat="1" applyFont="1" applyBorder="1" applyAlignment="1">
      <alignment horizontal="right"/>
    </xf>
    <xf numFmtId="0" fontId="15" fillId="0" borderId="31" xfId="0" applyFont="1" applyBorder="1" applyAlignment="1">
      <alignment horizontal="center" wrapText="1"/>
    </xf>
    <xf numFmtId="0" fontId="15" fillId="0" borderId="32" xfId="0" applyFont="1" applyBorder="1" applyAlignment="1">
      <alignment horizontal="center" wrapText="1"/>
    </xf>
    <xf numFmtId="0" fontId="15" fillId="0" borderId="32" xfId="0" applyNumberFormat="1" applyFont="1" applyBorder="1" applyAlignment="1">
      <alignment horizontal="center" wrapText="1"/>
    </xf>
    <xf numFmtId="39" fontId="15" fillId="0" borderId="32" xfId="0" applyNumberFormat="1" applyFont="1" applyFill="1" applyBorder="1" applyAlignment="1">
      <alignment horizontal="center" wrapText="1"/>
    </xf>
    <xf numFmtId="166" fontId="15" fillId="0" borderId="32" xfId="0" applyNumberFormat="1" applyFont="1" applyBorder="1" applyAlignment="1">
      <alignment horizontal="center" wrapText="1"/>
    </xf>
    <xf numFmtId="10" fontId="15" fillId="0" borderId="32" xfId="0" applyNumberFormat="1" applyFont="1" applyBorder="1" applyAlignment="1">
      <alignment horizontal="center" wrapText="1"/>
    </xf>
    <xf numFmtId="5" fontId="15" fillId="0" borderId="32" xfId="0" applyNumberFormat="1" applyFont="1" applyBorder="1" applyAlignment="1">
      <alignment horizontal="center" wrapText="1"/>
    </xf>
    <xf numFmtId="39" fontId="3" fillId="0" borderId="32" xfId="7" applyNumberFormat="1" applyFont="1" applyBorder="1" applyAlignment="1">
      <alignment horizontal="center" wrapText="1"/>
    </xf>
    <xf numFmtId="5" fontId="15" fillId="0" borderId="32" xfId="0" applyNumberFormat="1" applyFont="1" applyBorder="1" applyAlignment="1">
      <alignment horizontal="center"/>
    </xf>
    <xf numFmtId="7" fontId="15" fillId="0" borderId="33" xfId="0" applyNumberFormat="1" applyFont="1" applyBorder="1" applyAlignment="1">
      <alignment horizontal="center" wrapText="1"/>
    </xf>
    <xf numFmtId="5" fontId="0" fillId="0" borderId="0" xfId="0" applyNumberFormat="1" applyFont="1"/>
    <xf numFmtId="5" fontId="2" fillId="0" borderId="1" xfId="0" applyNumberFormat="1" applyFont="1" applyBorder="1" applyAlignment="1">
      <alignment horizontal="center"/>
    </xf>
    <xf numFmtId="5" fontId="2" fillId="0" borderId="1" xfId="0" applyNumberFormat="1" applyFont="1" applyBorder="1" applyAlignment="1">
      <alignment horizontal="center" wrapText="1"/>
    </xf>
    <xf numFmtId="5" fontId="0" fillId="4" borderId="1" xfId="0" applyNumberFormat="1" applyFont="1" applyFill="1" applyBorder="1"/>
    <xf numFmtId="5" fontId="2" fillId="0" borderId="1" xfId="0" applyNumberFormat="1" applyFont="1" applyBorder="1"/>
    <xf numFmtId="5" fontId="2" fillId="0" borderId="15" xfId="4" applyNumberFormat="1" applyFont="1" applyBorder="1"/>
    <xf numFmtId="7" fontId="0" fillId="0" borderId="0" xfId="0" applyNumberFormat="1" applyFont="1"/>
    <xf numFmtId="7" fontId="2" fillId="0" borderId="1" xfId="0" applyNumberFormat="1" applyFont="1" applyBorder="1" applyAlignment="1">
      <alignment horizontal="center"/>
    </xf>
    <xf numFmtId="7" fontId="2" fillId="0" borderId="1" xfId="0" applyNumberFormat="1" applyFont="1" applyBorder="1" applyAlignment="1">
      <alignment horizontal="center" wrapText="1"/>
    </xf>
    <xf numFmtId="7" fontId="12" fillId="0" borderId="1" xfId="7" applyNumberFormat="1" applyFont="1" applyFill="1" applyBorder="1" applyAlignment="1">
      <alignment horizontal="center" wrapText="1"/>
    </xf>
    <xf numFmtId="7" fontId="0" fillId="4" borderId="5" xfId="0" applyNumberFormat="1" applyFont="1" applyFill="1" applyBorder="1"/>
    <xf numFmtId="7" fontId="2" fillId="0" borderId="5" xfId="0" applyNumberFormat="1" applyFont="1" applyBorder="1"/>
    <xf numFmtId="7" fontId="2" fillId="0" borderId="16" xfId="0" applyNumberFormat="1" applyFont="1" applyBorder="1"/>
    <xf numFmtId="0" fontId="12" fillId="4" borderId="1" xfId="0" applyFont="1" applyFill="1" applyBorder="1" applyAlignment="1">
      <alignment wrapText="1"/>
    </xf>
    <xf numFmtId="37" fontId="2" fillId="0" borderId="1" xfId="4" applyNumberFormat="1" applyFont="1" applyFill="1" applyBorder="1"/>
    <xf numFmtId="3" fontId="9" fillId="5" borderId="21" xfId="6" applyNumberFormat="1" applyFont="1" applyFill="1" applyBorder="1" applyProtection="1">
      <protection locked="0"/>
    </xf>
    <xf numFmtId="3" fontId="9" fillId="5" borderId="2" xfId="6" applyNumberFormat="1" applyFont="1" applyFill="1" applyBorder="1" applyProtection="1">
      <protection locked="0"/>
    </xf>
    <xf numFmtId="3" fontId="9" fillId="5" borderId="1" xfId="6" applyNumberFormat="1" applyFont="1" applyFill="1" applyBorder="1" applyProtection="1">
      <protection locked="0"/>
    </xf>
    <xf numFmtId="5" fontId="9" fillId="5" borderId="1" xfId="6" applyNumberFormat="1" applyFont="1" applyFill="1" applyBorder="1" applyProtection="1">
      <protection locked="0"/>
    </xf>
    <xf numFmtId="10" fontId="9" fillId="5" borderId="1" xfId="10" applyNumberFormat="1" applyFont="1" applyFill="1" applyBorder="1" applyProtection="1">
      <protection locked="0"/>
    </xf>
    <xf numFmtId="39" fontId="9" fillId="5" borderId="1" xfId="6" applyNumberFormat="1" applyFont="1" applyFill="1" applyBorder="1" applyProtection="1">
      <protection locked="0"/>
    </xf>
    <xf numFmtId="0" fontId="3" fillId="5" borderId="25" xfId="6" applyFont="1" applyFill="1" applyBorder="1" applyAlignment="1" applyProtection="1">
      <alignment horizontal="center" wrapText="1"/>
      <protection locked="0"/>
    </xf>
    <xf numFmtId="5" fontId="0" fillId="5" borderId="1" xfId="0" applyNumberFormat="1" applyFont="1" applyFill="1" applyBorder="1" applyProtection="1">
      <protection locked="0"/>
    </xf>
    <xf numFmtId="0" fontId="3" fillId="0" borderId="0" xfId="6" applyFont="1" applyBorder="1" applyAlignment="1">
      <alignment horizontal="center" wrapText="1"/>
    </xf>
    <xf numFmtId="164" fontId="9" fillId="0" borderId="0" xfId="9" applyNumberFormat="1" applyFont="1" applyBorder="1"/>
    <xf numFmtId="0" fontId="9" fillId="0" borderId="34" xfId="6" applyFont="1" applyBorder="1" applyAlignment="1">
      <alignment horizontal="center"/>
    </xf>
    <xf numFmtId="164" fontId="9" fillId="0" borderId="35" xfId="9" applyNumberFormat="1" applyFont="1" applyBorder="1" applyAlignment="1">
      <alignment horizontal="center"/>
    </xf>
    <xf numFmtId="0" fontId="9" fillId="0" borderId="36" xfId="6" applyFont="1" applyBorder="1" applyAlignment="1">
      <alignment horizontal="center" wrapText="1"/>
    </xf>
    <xf numFmtId="10" fontId="9" fillId="0" borderId="36" xfId="9" applyNumberFormat="1" applyFont="1" applyFill="1" applyBorder="1" applyAlignment="1"/>
    <xf numFmtId="10" fontId="9" fillId="0" borderId="37" xfId="9" applyNumberFormat="1" applyFont="1" applyFill="1" applyBorder="1" applyAlignment="1"/>
    <xf numFmtId="0" fontId="14" fillId="0" borderId="0" xfId="0" applyFont="1" applyBorder="1" applyAlignment="1">
      <alignment wrapText="1"/>
    </xf>
    <xf numFmtId="7" fontId="14" fillId="0" borderId="0" xfId="0" applyNumberFormat="1" applyFont="1" applyBorder="1" applyAlignment="1">
      <alignment wrapText="1"/>
    </xf>
    <xf numFmtId="0" fontId="9" fillId="0" borderId="0" xfId="6" applyFont="1" applyBorder="1" applyAlignment="1">
      <alignment horizontal="left"/>
    </xf>
    <xf numFmtId="0" fontId="9" fillId="0" borderId="38" xfId="6" applyFont="1" applyBorder="1"/>
    <xf numFmtId="0" fontId="9" fillId="0" borderId="39" xfId="6" applyFont="1" applyBorder="1"/>
    <xf numFmtId="7" fontId="9" fillId="0" borderId="39" xfId="6" applyNumberFormat="1" applyFont="1" applyBorder="1"/>
    <xf numFmtId="0" fontId="9" fillId="0" borderId="40" xfId="6" applyFont="1" applyBorder="1"/>
    <xf numFmtId="0" fontId="3" fillId="0" borderId="0" xfId="3" applyFont="1" applyAlignment="1">
      <alignment horizontal="center"/>
    </xf>
    <xf numFmtId="0" fontId="12" fillId="0" borderId="10" xfId="3" applyFont="1" applyBorder="1" applyAlignment="1">
      <alignment horizontal="left" vertical="center"/>
    </xf>
    <xf numFmtId="0" fontId="5" fillId="0" borderId="11" xfId="3" applyBorder="1" applyAlignment="1">
      <alignment horizontal="center" vertical="center"/>
    </xf>
    <xf numFmtId="0" fontId="10" fillId="0" borderId="0" xfId="3" applyFont="1" applyBorder="1" applyAlignment="1">
      <alignment horizontal="center"/>
    </xf>
    <xf numFmtId="0" fontId="33" fillId="0" borderId="0" xfId="0" applyFont="1" applyBorder="1" applyAlignment="1">
      <alignment horizontal="center"/>
    </xf>
    <xf numFmtId="0" fontId="4" fillId="2" borderId="0" xfId="3" applyFont="1" applyFill="1" applyBorder="1" applyAlignment="1">
      <alignment horizontal="justify" vertical="top" wrapText="1"/>
    </xf>
    <xf numFmtId="0" fontId="6" fillId="0" borderId="0" xfId="3" applyFont="1" applyBorder="1" applyAlignment="1">
      <alignment horizontal="right" vertical="top" wrapText="1"/>
    </xf>
    <xf numFmtId="0" fontId="6" fillId="0" borderId="0" xfId="3" applyFont="1" applyBorder="1" applyAlignment="1">
      <alignment horizontal="justify" vertical="top" wrapText="1"/>
    </xf>
    <xf numFmtId="0" fontId="6" fillId="0" borderId="0" xfId="3" applyFont="1" applyBorder="1"/>
    <xf numFmtId="0" fontId="4" fillId="3" borderId="0" xfId="3" applyFont="1" applyFill="1" applyBorder="1"/>
    <xf numFmtId="0" fontId="5" fillId="0" borderId="0" xfId="3" applyBorder="1" applyAlignment="1"/>
    <xf numFmtId="0" fontId="6" fillId="0" borderId="1" xfId="3" applyFont="1" applyBorder="1" applyAlignment="1">
      <alignment horizontal="center" vertical="center" wrapText="1"/>
    </xf>
    <xf numFmtId="0" fontId="10" fillId="0" borderId="0" xfId="3" applyFont="1" applyBorder="1" applyAlignment="1">
      <alignment horizontal="justify" vertical="top" wrapText="1"/>
    </xf>
    <xf numFmtId="0" fontId="10" fillId="3" borderId="0" xfId="3" applyFont="1" applyFill="1" applyBorder="1" applyAlignment="1">
      <alignment horizontal="justify" vertical="top" wrapText="1"/>
    </xf>
    <xf numFmtId="0" fontId="12" fillId="0" borderId="0" xfId="3" applyFont="1" applyBorder="1"/>
    <xf numFmtId="0" fontId="5" fillId="0" borderId="14" xfId="3" applyBorder="1" applyAlignment="1">
      <alignment horizontal="left" wrapText="1"/>
    </xf>
    <xf numFmtId="0" fontId="5" fillId="0" borderId="4" xfId="3" applyBorder="1" applyAlignment="1">
      <alignment horizontal="left" wrapText="1"/>
    </xf>
    <xf numFmtId="0" fontId="4" fillId="0" borderId="12" xfId="3" applyFont="1" applyBorder="1" applyAlignment="1">
      <alignment horizontal="left" vertical="center"/>
    </xf>
    <xf numFmtId="0" fontId="4" fillId="0" borderId="13" xfId="3" applyFont="1" applyBorder="1" applyAlignment="1">
      <alignment horizontal="left" vertical="center"/>
    </xf>
    <xf numFmtId="0" fontId="0" fillId="6" borderId="5" xfId="0" applyFont="1" applyFill="1" applyBorder="1" applyAlignment="1" applyProtection="1">
      <alignment horizontal="left"/>
      <protection locked="0"/>
    </xf>
    <xf numFmtId="0" fontId="2" fillId="6" borderId="5" xfId="0" applyFont="1" applyFill="1" applyBorder="1" applyAlignment="1" applyProtection="1">
      <alignment horizontal="left"/>
      <protection locked="0"/>
    </xf>
    <xf numFmtId="0" fontId="0" fillId="0" borderId="5" xfId="0" applyFont="1" applyFill="1" applyBorder="1" applyAlignment="1" applyProtection="1">
      <alignment horizontal="left"/>
      <protection locked="0"/>
    </xf>
    <xf numFmtId="0" fontId="12" fillId="0" borderId="0" xfId="6" applyFont="1" applyBorder="1" applyAlignment="1">
      <alignment horizontal="center"/>
    </xf>
    <xf numFmtId="0" fontId="0" fillId="0" borderId="0" xfId="0" applyAlignment="1">
      <alignment horizontal="center"/>
    </xf>
    <xf numFmtId="0" fontId="0" fillId="0" borderId="0" xfId="0" applyAlignment="1"/>
    <xf numFmtId="0" fontId="12" fillId="0" borderId="0" xfId="6" applyFont="1" applyBorder="1" applyAlignment="1">
      <alignment horizontal="center"/>
    </xf>
    <xf numFmtId="0" fontId="0" fillId="0" borderId="0" xfId="0" applyAlignment="1">
      <alignment horizontal="center"/>
    </xf>
    <xf numFmtId="0" fontId="15" fillId="8" borderId="38" xfId="0" applyFont="1" applyFill="1" applyBorder="1"/>
    <xf numFmtId="0" fontId="15" fillId="8" borderId="39" xfId="0" applyFont="1" applyFill="1" applyBorder="1"/>
    <xf numFmtId="39" fontId="15" fillId="8" borderId="39" xfId="0" applyNumberFormat="1" applyFont="1" applyFill="1" applyBorder="1"/>
    <xf numFmtId="166" fontId="15" fillId="8" borderId="39" xfId="0" applyNumberFormat="1" applyFont="1" applyFill="1" applyBorder="1"/>
    <xf numFmtId="5" fontId="15" fillId="8" borderId="39" xfId="0" applyNumberFormat="1" applyFont="1" applyFill="1" applyBorder="1"/>
    <xf numFmtId="37" fontId="15" fillId="8" borderId="39" xfId="0" applyNumberFormat="1" applyFont="1" applyFill="1" applyBorder="1"/>
    <xf numFmtId="9" fontId="15" fillId="8" borderId="39" xfId="0" applyNumberFormat="1" applyFont="1" applyFill="1" applyBorder="1"/>
    <xf numFmtId="7" fontId="15" fillId="8" borderId="40" xfId="0" applyNumberFormat="1" applyFont="1" applyFill="1" applyBorder="1"/>
    <xf numFmtId="0" fontId="15" fillId="0" borderId="3" xfId="0" applyFont="1" applyFill="1" applyBorder="1" applyAlignment="1">
      <alignment horizontal="center"/>
    </xf>
    <xf numFmtId="0" fontId="26" fillId="7" borderId="25" xfId="0" applyFont="1" applyFill="1" applyBorder="1" applyAlignment="1">
      <alignment horizontal="left"/>
    </xf>
    <xf numFmtId="39" fontId="26" fillId="7" borderId="0" xfId="0" applyNumberFormat="1" applyFont="1" applyFill="1" applyBorder="1" applyAlignment="1">
      <alignment horizontal="right"/>
    </xf>
    <xf numFmtId="39" fontId="22" fillId="7" borderId="0" xfId="0" applyNumberFormat="1" applyFont="1" applyFill="1" applyBorder="1" applyAlignment="1">
      <alignment horizontal="center"/>
    </xf>
    <xf numFmtId="0" fontId="22" fillId="7" borderId="0" xfId="0" applyFont="1" applyFill="1" applyBorder="1" applyAlignment="1">
      <alignment horizontal="center"/>
    </xf>
    <xf numFmtId="166" fontId="22" fillId="7" borderId="0" xfId="0" applyNumberFormat="1" applyFont="1" applyFill="1" applyBorder="1" applyAlignment="1">
      <alignment horizontal="center"/>
    </xf>
    <xf numFmtId="0" fontId="22" fillId="7" borderId="0" xfId="0" applyFont="1" applyFill="1" applyBorder="1" applyAlignment="1">
      <alignment horizontal="center" wrapText="1"/>
    </xf>
    <xf numFmtId="5" fontId="23" fillId="7" borderId="0" xfId="0" applyNumberFormat="1" applyFont="1" applyFill="1" applyBorder="1" applyAlignment="1">
      <alignment horizontal="center"/>
    </xf>
    <xf numFmtId="5" fontId="22" fillId="7" borderId="0" xfId="0" applyNumberFormat="1" applyFont="1" applyFill="1" applyBorder="1" applyAlignment="1">
      <alignment horizontal="center"/>
    </xf>
    <xf numFmtId="10" fontId="15" fillId="7" borderId="0" xfId="0" applyNumberFormat="1" applyFont="1" applyFill="1" applyBorder="1"/>
    <xf numFmtId="5" fontId="26" fillId="7" borderId="0" xfId="0" applyNumberFormat="1" applyFont="1" applyFill="1" applyBorder="1"/>
    <xf numFmtId="5" fontId="28" fillId="7" borderId="0" xfId="0" applyNumberFormat="1" applyFont="1" applyFill="1" applyBorder="1"/>
    <xf numFmtId="10" fontId="26" fillId="7" borderId="27" xfId="0" applyNumberFormat="1" applyFont="1" applyFill="1" applyBorder="1" applyAlignment="1">
      <alignment horizontal="right"/>
    </xf>
    <xf numFmtId="5" fontId="26" fillId="7" borderId="0" xfId="0" applyNumberFormat="1" applyFont="1" applyFill="1" applyBorder="1" applyAlignment="1">
      <alignment horizontal="right"/>
    </xf>
    <xf numFmtId="5" fontId="14" fillId="7" borderId="0" xfId="0" applyNumberFormat="1" applyFont="1" applyFill="1" applyBorder="1"/>
    <xf numFmtId="7" fontId="14" fillId="7" borderId="27" xfId="0" applyNumberFormat="1" applyFont="1" applyFill="1" applyBorder="1" applyAlignment="1">
      <alignment horizontal="right"/>
    </xf>
    <xf numFmtId="0" fontId="26" fillId="7" borderId="28" xfId="0" applyFont="1" applyFill="1" applyBorder="1" applyAlignment="1">
      <alignment horizontal="left"/>
    </xf>
    <xf numFmtId="10" fontId="26" fillId="7" borderId="8" xfId="1" applyNumberFormat="1" applyFont="1" applyFill="1" applyBorder="1"/>
    <xf numFmtId="39" fontId="21" fillId="7" borderId="8" xfId="0" applyNumberFormat="1" applyFont="1" applyFill="1" applyBorder="1" applyAlignment="1">
      <alignment horizontal="left"/>
    </xf>
    <xf numFmtId="0" fontId="22" fillId="7" borderId="8" xfId="0" applyFont="1" applyFill="1" applyBorder="1" applyAlignment="1">
      <alignment horizontal="center"/>
    </xf>
    <xf numFmtId="39" fontId="22" fillId="7" borderId="8" xfId="0" applyNumberFormat="1" applyFont="1" applyFill="1" applyBorder="1" applyAlignment="1">
      <alignment horizontal="center"/>
    </xf>
    <xf numFmtId="166" fontId="22" fillId="7" borderId="8" xfId="0" applyNumberFormat="1" applyFont="1" applyFill="1" applyBorder="1" applyAlignment="1">
      <alignment horizontal="center"/>
    </xf>
    <xf numFmtId="0" fontId="22" fillId="7" borderId="8" xfId="0" applyFont="1" applyFill="1" applyBorder="1" applyAlignment="1">
      <alignment horizontal="center" wrapText="1"/>
    </xf>
    <xf numFmtId="5" fontId="23" fillId="7" borderId="8" xfId="0" applyNumberFormat="1" applyFont="1" applyFill="1" applyBorder="1" applyAlignment="1">
      <alignment horizontal="center"/>
    </xf>
    <xf numFmtId="5" fontId="22" fillId="7" borderId="8" xfId="0" applyNumberFormat="1" applyFont="1" applyFill="1" applyBorder="1" applyAlignment="1">
      <alignment horizontal="center"/>
    </xf>
    <xf numFmtId="10" fontId="15" fillId="7" borderId="8" xfId="0" applyNumberFormat="1" applyFont="1" applyFill="1" applyBorder="1"/>
    <xf numFmtId="5" fontId="14" fillId="7" borderId="8" xfId="0" applyNumberFormat="1" applyFont="1" applyFill="1" applyBorder="1"/>
    <xf numFmtId="7" fontId="14" fillId="7" borderId="29" xfId="0" applyNumberFormat="1" applyFont="1" applyFill="1" applyBorder="1" applyAlignment="1">
      <alignment horizontal="right"/>
    </xf>
    <xf numFmtId="37" fontId="26" fillId="7" borderId="0" xfId="0" applyNumberFormat="1" applyFont="1" applyFill="1" applyBorder="1" applyAlignment="1">
      <alignment horizontal="right"/>
    </xf>
    <xf numFmtId="10" fontId="14" fillId="7" borderId="0" xfId="0" applyNumberFormat="1" applyFont="1" applyFill="1" applyBorder="1"/>
    <xf numFmtId="10" fontId="14" fillId="7" borderId="8" xfId="0" applyNumberFormat="1" applyFont="1" applyFill="1" applyBorder="1"/>
    <xf numFmtId="37" fontId="15" fillId="7" borderId="0" xfId="0" applyNumberFormat="1" applyFont="1" applyFill="1" applyBorder="1" applyAlignment="1">
      <alignment horizontal="right"/>
    </xf>
    <xf numFmtId="5" fontId="15" fillId="7" borderId="0" xfId="0" applyNumberFormat="1" applyFont="1" applyFill="1" applyBorder="1" applyAlignment="1">
      <alignment horizontal="right"/>
    </xf>
    <xf numFmtId="37" fontId="22" fillId="7" borderId="0" xfId="0" applyNumberFormat="1" applyFont="1" applyFill="1" applyBorder="1" applyAlignment="1">
      <alignment horizontal="right"/>
    </xf>
    <xf numFmtId="5" fontId="22" fillId="7" borderId="0" xfId="0" applyNumberFormat="1" applyFont="1" applyFill="1" applyBorder="1" applyAlignment="1">
      <alignment horizontal="right"/>
    </xf>
    <xf numFmtId="0" fontId="9" fillId="7" borderId="21" xfId="6" applyFont="1" applyFill="1" applyBorder="1"/>
    <xf numFmtId="0" fontId="30" fillId="7" borderId="2" xfId="6" applyFont="1" applyFill="1" applyBorder="1" applyAlignment="1">
      <alignment horizontal="center"/>
    </xf>
    <xf numFmtId="0" fontId="9" fillId="7" borderId="1" xfId="6" applyFont="1" applyFill="1" applyBorder="1" applyAlignment="1">
      <alignment horizontal="center" wrapText="1"/>
    </xf>
    <xf numFmtId="44" fontId="31" fillId="7" borderId="1" xfId="5" applyFont="1" applyFill="1" applyBorder="1" applyAlignment="1">
      <alignment horizontal="center"/>
    </xf>
    <xf numFmtId="44" fontId="31" fillId="7" borderId="7" xfId="5" applyFont="1" applyFill="1" applyBorder="1" applyAlignment="1">
      <alignment horizontal="center"/>
    </xf>
    <xf numFmtId="10" fontId="9" fillId="7" borderId="1" xfId="6" applyNumberFormat="1" applyFont="1" applyFill="1" applyBorder="1" applyAlignment="1">
      <alignment horizontal="center" wrapText="1"/>
    </xf>
    <xf numFmtId="7" fontId="9" fillId="7" borderId="1" xfId="6" applyNumberFormat="1" applyFont="1" applyFill="1" applyBorder="1" applyAlignment="1">
      <alignment horizontal="center" wrapText="1"/>
    </xf>
    <xf numFmtId="10" fontId="26" fillId="7" borderId="0" xfId="0" applyNumberFormat="1" applyFont="1" applyFill="1" applyBorder="1"/>
    <xf numFmtId="0" fontId="0" fillId="0" borderId="0" xfId="0" applyNumberFormat="1" applyFill="1" applyBorder="1" applyAlignment="1"/>
    <xf numFmtId="0" fontId="0" fillId="0" borderId="0" xfId="0" applyFont="1" applyFill="1"/>
    <xf numFmtId="0" fontId="2" fillId="0" borderId="21" xfId="0" applyFont="1" applyBorder="1" applyAlignment="1">
      <alignment horizontal="center"/>
    </xf>
    <xf numFmtId="0" fontId="0" fillId="0" borderId="36" xfId="0" applyFont="1" applyBorder="1"/>
    <xf numFmtId="0" fontId="0" fillId="0" borderId="21" xfId="0" applyFont="1" applyBorder="1"/>
    <xf numFmtId="5" fontId="0" fillId="5" borderId="36" xfId="0" applyNumberFormat="1" applyFont="1" applyFill="1" applyBorder="1" applyProtection="1">
      <protection locked="0"/>
    </xf>
    <xf numFmtId="0" fontId="0" fillId="0" borderId="22" xfId="0" applyFont="1" applyBorder="1"/>
    <xf numFmtId="5" fontId="0" fillId="0" borderId="37" xfId="0" applyNumberFormat="1" applyFont="1" applyBorder="1"/>
    <xf numFmtId="0" fontId="2" fillId="0" borderId="36" xfId="0" applyFont="1" applyBorder="1" applyAlignment="1">
      <alignment horizontal="center" wrapText="1"/>
    </xf>
    <xf numFmtId="5" fontId="0" fillId="0" borderId="36" xfId="0" applyNumberFormat="1" applyFont="1" applyBorder="1"/>
    <xf numFmtId="0" fontId="0" fillId="0" borderId="22" xfId="0" applyFont="1" applyFill="1" applyBorder="1"/>
    <xf numFmtId="0" fontId="0" fillId="0" borderId="23" xfId="0" applyFont="1" applyBorder="1"/>
    <xf numFmtId="5" fontId="0" fillId="0" borderId="23" xfId="0" applyNumberFormat="1" applyFont="1" applyBorder="1"/>
    <xf numFmtId="3" fontId="14" fillId="5" borderId="3" xfId="4" applyNumberFormat="1" applyFont="1" applyFill="1" applyBorder="1" applyProtection="1">
      <protection locked="0"/>
    </xf>
    <xf numFmtId="3" fontId="14" fillId="5" borderId="1" xfId="4" applyNumberFormat="1" applyFont="1" applyFill="1" applyBorder="1" applyProtection="1">
      <protection locked="0"/>
    </xf>
    <xf numFmtId="39" fontId="14" fillId="5" borderId="1" xfId="4" applyNumberFormat="1" applyFont="1" applyFill="1" applyBorder="1" applyProtection="1">
      <protection locked="0"/>
    </xf>
    <xf numFmtId="0" fontId="2" fillId="0" borderId="36" xfId="0" applyFont="1" applyBorder="1" applyAlignment="1">
      <alignment horizontal="center"/>
    </xf>
    <xf numFmtId="39" fontId="14" fillId="5" borderId="1" xfId="4" applyNumberFormat="1" applyFont="1" applyFill="1" applyBorder="1"/>
    <xf numFmtId="0" fontId="14" fillId="0" borderId="18" xfId="0" applyFont="1" applyBorder="1" applyAlignment="1"/>
    <xf numFmtId="0" fontId="14" fillId="0" borderId="26" xfId="0" applyFont="1" applyBorder="1" applyAlignment="1"/>
    <xf numFmtId="0" fontId="12" fillId="0" borderId="0" xfId="6" applyFont="1" applyBorder="1" applyAlignment="1">
      <alignment horizontal="center"/>
    </xf>
    <xf numFmtId="0" fontId="12" fillId="0" borderId="1" xfId="0" applyFont="1" applyBorder="1" applyAlignment="1">
      <alignment horizontal="center" wrapText="1"/>
    </xf>
    <xf numFmtId="10" fontId="5" fillId="5" borderId="1" xfId="0" applyNumberFormat="1" applyFont="1" applyFill="1" applyBorder="1" applyAlignment="1" applyProtection="1">
      <alignment horizontal="center" wrapText="1"/>
      <protection locked="0"/>
    </xf>
    <xf numFmtId="10" fontId="5" fillId="0" borderId="0" xfId="0" applyNumberFormat="1" applyFont="1" applyFill="1" applyBorder="1" applyAlignment="1" applyProtection="1">
      <alignment horizontal="center" wrapText="1"/>
      <protection locked="0"/>
    </xf>
    <xf numFmtId="0" fontId="12" fillId="0" borderId="0" xfId="0" applyFont="1" applyFill="1" applyBorder="1"/>
    <xf numFmtId="0" fontId="2" fillId="0" borderId="19" xfId="0" applyFont="1" applyFill="1" applyBorder="1" applyAlignment="1">
      <alignment horizontal="left"/>
    </xf>
    <xf numFmtId="0" fontId="2" fillId="0" borderId="25" xfId="0" applyFont="1" applyFill="1" applyBorder="1" applyAlignment="1">
      <alignment horizontal="left"/>
    </xf>
    <xf numFmtId="0" fontId="0" fillId="0" borderId="25" xfId="0" applyFont="1" applyFill="1" applyBorder="1" applyAlignment="1">
      <alignment horizontal="left"/>
    </xf>
    <xf numFmtId="0" fontId="0" fillId="0" borderId="28" xfId="0" applyFont="1" applyFill="1" applyBorder="1" applyAlignment="1">
      <alignment horizontal="left"/>
    </xf>
    <xf numFmtId="0" fontId="5" fillId="0" borderId="0" xfId="3" applyBorder="1" applyAlignment="1">
      <alignment vertical="center"/>
    </xf>
    <xf numFmtId="0" fontId="5" fillId="0" borderId="1" xfId="3" applyFont="1" applyBorder="1" applyAlignment="1">
      <alignment horizontal="left" vertical="center" wrapText="1"/>
    </xf>
    <xf numFmtId="0" fontId="6" fillId="0" borderId="1" xfId="3" applyFont="1" applyBorder="1" applyAlignment="1">
      <alignment horizontal="justify" vertical="center" wrapText="1"/>
    </xf>
    <xf numFmtId="0" fontId="4" fillId="0" borderId="1" xfId="3" applyFont="1" applyBorder="1" applyAlignment="1">
      <alignment vertical="center"/>
    </xf>
    <xf numFmtId="0" fontId="5" fillId="0" borderId="1" xfId="3" applyFont="1" applyBorder="1" applyAlignment="1">
      <alignment vertical="center"/>
    </xf>
    <xf numFmtId="0" fontId="4" fillId="2" borderId="0" xfId="3" applyFont="1" applyFill="1" applyBorder="1" applyAlignment="1">
      <alignment vertical="center" wrapText="1"/>
    </xf>
    <xf numFmtId="0" fontId="12" fillId="0" borderId="1" xfId="3" applyFont="1" applyBorder="1" applyAlignment="1">
      <alignment vertical="center" wrapText="1"/>
    </xf>
    <xf numFmtId="0" fontId="5" fillId="0" borderId="1" xfId="8" quotePrefix="1" applyBorder="1" applyAlignment="1">
      <alignment horizontal="left" vertical="center"/>
    </xf>
    <xf numFmtId="0" fontId="6" fillId="0" borderId="1" xfId="3" applyFont="1" applyBorder="1" applyAlignment="1">
      <alignment horizontal="left" vertical="center" wrapText="1"/>
    </xf>
    <xf numFmtId="0" fontId="6" fillId="0" borderId="1" xfId="3" applyFont="1" applyBorder="1" applyAlignment="1">
      <alignment horizontal="right" vertical="center" wrapText="1"/>
    </xf>
    <xf numFmtId="0" fontId="4" fillId="0" borderId="1" xfId="3" applyFont="1" applyBorder="1" applyAlignment="1">
      <alignment horizontal="right" vertical="center"/>
    </xf>
    <xf numFmtId="0" fontId="5" fillId="0" borderId="1" xfId="3" applyFont="1" applyBorder="1" applyAlignment="1">
      <alignment horizontal="right" vertical="center"/>
    </xf>
    <xf numFmtId="0" fontId="6" fillId="0" borderId="1" xfId="2" applyFont="1" applyBorder="1" applyAlignment="1" applyProtection="1">
      <alignment horizontal="right" vertical="center" wrapText="1"/>
    </xf>
    <xf numFmtId="0" fontId="8" fillId="0" borderId="1" xfId="2" applyBorder="1" applyAlignment="1" applyProtection="1">
      <alignment horizontal="left" vertical="center" wrapText="1"/>
    </xf>
    <xf numFmtId="0" fontId="5" fillId="0" borderId="1" xfId="3" applyFont="1" applyBorder="1" applyAlignment="1">
      <alignment horizontal="right" vertical="center" wrapText="1"/>
    </xf>
    <xf numFmtId="0" fontId="12" fillId="0" borderId="1" xfId="3" applyFont="1" applyBorder="1" applyAlignment="1">
      <alignment horizontal="right" vertical="center" wrapText="1"/>
    </xf>
    <xf numFmtId="0" fontId="12" fillId="0" borderId="3" xfId="3" applyFont="1" applyBorder="1" applyAlignment="1">
      <alignment horizontal="right" vertical="center" wrapText="1"/>
    </xf>
    <xf numFmtId="0" fontId="6" fillId="0" borderId="4" xfId="3" applyFont="1" applyBorder="1" applyAlignment="1">
      <alignment horizontal="justify" vertical="center" wrapText="1"/>
    </xf>
    <xf numFmtId="0" fontId="9" fillId="7" borderId="36" xfId="6" applyFont="1" applyFill="1" applyBorder="1" applyAlignment="1">
      <alignment horizontal="center" wrapText="1"/>
    </xf>
    <xf numFmtId="0" fontId="30" fillId="0" borderId="19" xfId="6" applyFont="1" applyBorder="1" applyAlignment="1">
      <alignment horizontal="center"/>
    </xf>
    <xf numFmtId="7" fontId="14" fillId="0" borderId="18" xfId="0" applyNumberFormat="1" applyFont="1" applyBorder="1" applyAlignment="1"/>
    <xf numFmtId="0" fontId="2" fillId="0" borderId="1" xfId="0" applyFont="1" applyFill="1" applyBorder="1" applyAlignment="1">
      <alignment horizontal="center" wrapText="1"/>
    </xf>
    <xf numFmtId="0" fontId="2" fillId="0" borderId="5" xfId="0" applyFont="1" applyFill="1" applyBorder="1" applyAlignment="1">
      <alignment horizontal="center" wrapText="1"/>
    </xf>
    <xf numFmtId="0" fontId="12" fillId="0" borderId="1" xfId="0" applyFont="1" applyFill="1" applyBorder="1" applyAlignment="1">
      <alignment horizontal="center"/>
    </xf>
    <xf numFmtId="10" fontId="0" fillId="0" borderId="0" xfId="0" applyNumberFormat="1" applyAlignment="1">
      <alignment horizontal="center"/>
    </xf>
    <xf numFmtId="10" fontId="15" fillId="8" borderId="39" xfId="0" applyNumberFormat="1" applyFont="1" applyFill="1" applyBorder="1"/>
    <xf numFmtId="10" fontId="15" fillId="8" borderId="8" xfId="0" applyNumberFormat="1" applyFont="1" applyFill="1" applyBorder="1"/>
    <xf numFmtId="0" fontId="15" fillId="0" borderId="25" xfId="0" applyFont="1" applyFill="1" applyBorder="1"/>
    <xf numFmtId="39" fontId="15" fillId="0" borderId="0" xfId="0" applyNumberFormat="1" applyFont="1" applyFill="1" applyBorder="1"/>
    <xf numFmtId="166" fontId="15" fillId="0" borderId="0" xfId="0" applyNumberFormat="1" applyFont="1" applyFill="1" applyBorder="1"/>
    <xf numFmtId="0" fontId="15" fillId="0" borderId="0" xfId="0" applyFont="1" applyFill="1" applyBorder="1" applyAlignment="1">
      <alignment wrapText="1"/>
    </xf>
    <xf numFmtId="10" fontId="15" fillId="0" borderId="0" xfId="0" applyNumberFormat="1" applyFont="1" applyFill="1" applyBorder="1"/>
    <xf numFmtId="5" fontId="14" fillId="0" borderId="0" xfId="0" applyNumberFormat="1" applyFont="1" applyFill="1" applyBorder="1"/>
    <xf numFmtId="7" fontId="14" fillId="0" borderId="27" xfId="0" applyNumberFormat="1" applyFont="1" applyFill="1" applyBorder="1" applyAlignment="1">
      <alignment horizontal="right"/>
    </xf>
    <xf numFmtId="0" fontId="14" fillId="8" borderId="39" xfId="0" applyFont="1" applyFill="1" applyBorder="1"/>
    <xf numFmtId="5" fontId="0" fillId="0" borderId="0" xfId="0" applyNumberFormat="1" applyAlignment="1"/>
    <xf numFmtId="3" fontId="15" fillId="0" borderId="46" xfId="0" applyNumberFormat="1" applyFont="1" applyBorder="1" applyAlignment="1">
      <alignment horizontal="center" wrapText="1"/>
    </xf>
    <xf numFmtId="39" fontId="15" fillId="0" borderId="46" xfId="0" applyNumberFormat="1" applyFont="1" applyFill="1" applyBorder="1" applyAlignment="1">
      <alignment horizontal="center" wrapText="1"/>
    </xf>
    <xf numFmtId="166" fontId="15" fillId="0" borderId="46" xfId="0" applyNumberFormat="1" applyFont="1" applyBorder="1" applyAlignment="1">
      <alignment horizontal="center" wrapText="1"/>
    </xf>
    <xf numFmtId="0" fontId="15" fillId="0" borderId="46" xfId="0" applyFont="1" applyBorder="1" applyAlignment="1">
      <alignment horizontal="center" wrapText="1"/>
    </xf>
    <xf numFmtId="10" fontId="15" fillId="0" borderId="46" xfId="0" applyNumberFormat="1" applyFont="1" applyBorder="1" applyAlignment="1">
      <alignment horizontal="center" wrapText="1"/>
    </xf>
    <xf numFmtId="5" fontId="15" fillId="0" borderId="46" xfId="0" applyNumberFormat="1" applyFont="1" applyBorder="1" applyAlignment="1">
      <alignment horizontal="center" wrapText="1"/>
    </xf>
    <xf numFmtId="39" fontId="3" fillId="0" borderId="46" xfId="7" applyNumberFormat="1" applyFont="1" applyBorder="1" applyAlignment="1">
      <alignment horizontal="center" wrapText="1"/>
    </xf>
    <xf numFmtId="5" fontId="15" fillId="0" borderId="46" xfId="0" applyNumberFormat="1" applyFont="1" applyBorder="1" applyAlignment="1">
      <alignment horizontal="center"/>
    </xf>
    <xf numFmtId="7" fontId="15" fillId="0" borderId="47" xfId="0" applyNumberFormat="1" applyFont="1" applyBorder="1" applyAlignment="1">
      <alignment horizontal="center" wrapText="1"/>
    </xf>
    <xf numFmtId="0" fontId="15" fillId="8" borderId="28" xfId="0" applyFont="1" applyFill="1" applyBorder="1"/>
    <xf numFmtId="0" fontId="15" fillId="8" borderId="8" xfId="0" applyFont="1" applyFill="1" applyBorder="1"/>
    <xf numFmtId="39" fontId="15" fillId="8" borderId="8" xfId="0" applyNumberFormat="1" applyFont="1" applyFill="1" applyBorder="1"/>
    <xf numFmtId="166" fontId="15" fillId="8" borderId="8" xfId="0" applyNumberFormat="1" applyFont="1" applyFill="1" applyBorder="1"/>
    <xf numFmtId="0" fontId="15" fillId="8" borderId="8" xfId="0" applyFont="1" applyFill="1" applyBorder="1" applyAlignment="1">
      <alignment wrapText="1"/>
    </xf>
    <xf numFmtId="5" fontId="3" fillId="8" borderId="8" xfId="0" applyNumberFormat="1" applyFont="1" applyFill="1" applyBorder="1"/>
    <xf numFmtId="5" fontId="15" fillId="8" borderId="8" xfId="0" applyNumberFormat="1" applyFont="1" applyFill="1" applyBorder="1"/>
    <xf numFmtId="5" fontId="14" fillId="8" borderId="8" xfId="0" applyNumberFormat="1" applyFont="1" applyFill="1" applyBorder="1"/>
    <xf numFmtId="7" fontId="14" fillId="8" borderId="29" xfId="0" applyNumberFormat="1" applyFont="1" applyFill="1" applyBorder="1" applyAlignment="1">
      <alignment horizontal="right"/>
    </xf>
    <xf numFmtId="0" fontId="12" fillId="8" borderId="19" xfId="6" applyFont="1" applyFill="1" applyBorder="1" applyAlignment="1">
      <alignment horizontal="center" wrapText="1"/>
    </xf>
    <xf numFmtId="0" fontId="1" fillId="8" borderId="18" xfId="0" applyFont="1" applyFill="1" applyBorder="1" applyAlignment="1">
      <alignment wrapText="1"/>
    </xf>
    <xf numFmtId="5" fontId="1" fillId="8" borderId="18" xfId="0" applyNumberFormat="1" applyFont="1" applyFill="1" applyBorder="1" applyAlignment="1">
      <alignment wrapText="1"/>
    </xf>
    <xf numFmtId="37" fontId="1" fillId="8" borderId="18" xfId="0" applyNumberFormat="1" applyFont="1" applyFill="1" applyBorder="1" applyAlignment="1">
      <alignment wrapText="1"/>
    </xf>
    <xf numFmtId="0" fontId="1" fillId="8" borderId="26" xfId="0" applyFont="1" applyFill="1" applyBorder="1" applyAlignment="1">
      <alignment wrapText="1"/>
    </xf>
    <xf numFmtId="0" fontId="5" fillId="0" borderId="0" xfId="6" applyFont="1"/>
    <xf numFmtId="0" fontId="12" fillId="0" borderId="38" xfId="6" applyFont="1" applyBorder="1" applyAlignment="1">
      <alignment horizontal="center"/>
    </xf>
    <xf numFmtId="10" fontId="0" fillId="0" borderId="39" xfId="0" applyNumberFormat="1" applyBorder="1" applyAlignment="1">
      <alignment horizontal="center"/>
    </xf>
    <xf numFmtId="0" fontId="0" fillId="0" borderId="39" xfId="0" applyBorder="1" applyAlignment="1">
      <alignment horizontal="center"/>
    </xf>
    <xf numFmtId="0" fontId="12" fillId="0" borderId="0" xfId="6" applyFont="1" applyFill="1" applyBorder="1" applyAlignment="1">
      <alignment horizontal="center" wrapText="1"/>
    </xf>
    <xf numFmtId="0" fontId="1" fillId="0" borderId="0" xfId="0" applyFont="1" applyFill="1" applyBorder="1" applyAlignment="1">
      <alignment wrapText="1"/>
    </xf>
    <xf numFmtId="5" fontId="1" fillId="0" borderId="0" xfId="0" applyNumberFormat="1" applyFont="1" applyFill="1" applyBorder="1" applyAlignment="1">
      <alignment wrapText="1"/>
    </xf>
    <xf numFmtId="37" fontId="1" fillId="0" borderId="0" xfId="0" applyNumberFormat="1" applyFont="1" applyFill="1" applyBorder="1" applyAlignment="1">
      <alignment wrapText="1"/>
    </xf>
    <xf numFmtId="0" fontId="12" fillId="0" borderId="39" xfId="0" applyFont="1" applyBorder="1" applyAlignment="1">
      <alignment horizontal="center"/>
    </xf>
    <xf numFmtId="0" fontId="9" fillId="0" borderId="46" xfId="6" applyFont="1" applyBorder="1" applyAlignment="1">
      <alignment horizontal="center" wrapText="1"/>
    </xf>
    <xf numFmtId="10" fontId="9" fillId="0" borderId="46" xfId="6" applyNumberFormat="1" applyFont="1" applyBorder="1" applyAlignment="1">
      <alignment horizontal="center" wrapText="1"/>
    </xf>
    <xf numFmtId="7" fontId="9" fillId="0" borderId="46" xfId="6" applyNumberFormat="1" applyFont="1" applyBorder="1" applyAlignment="1">
      <alignment horizontal="center" wrapText="1"/>
    </xf>
    <xf numFmtId="0" fontId="9" fillId="0" borderId="47" xfId="6" applyFont="1" applyBorder="1" applyAlignment="1">
      <alignment horizontal="center" wrapText="1"/>
    </xf>
    <xf numFmtId="0" fontId="0" fillId="0" borderId="26" xfId="0" applyFill="1" applyBorder="1"/>
    <xf numFmtId="0" fontId="0" fillId="0" borderId="25" xfId="0" applyFill="1" applyBorder="1" applyAlignment="1">
      <alignment horizontal="left"/>
    </xf>
    <xf numFmtId="0" fontId="0" fillId="0" borderId="28" xfId="0" applyFill="1" applyBorder="1" applyAlignment="1">
      <alignment horizontal="left"/>
    </xf>
    <xf numFmtId="0" fontId="0" fillId="0" borderId="8" xfId="0" applyFill="1" applyBorder="1"/>
    <xf numFmtId="0" fontId="2" fillId="0" borderId="18" xfId="0" applyFont="1" applyFill="1" applyBorder="1"/>
    <xf numFmtId="0" fontId="2" fillId="0" borderId="0" xfId="0" applyFont="1" applyFill="1" applyBorder="1"/>
    <xf numFmtId="0" fontId="2" fillId="0" borderId="8" xfId="0" applyFont="1" applyFill="1" applyBorder="1"/>
    <xf numFmtId="0" fontId="0" fillId="0" borderId="11" xfId="0" applyFont="1" applyFill="1" applyBorder="1"/>
    <xf numFmtId="0" fontId="0" fillId="0" borderId="48" xfId="0" applyFont="1" applyFill="1" applyBorder="1"/>
    <xf numFmtId="0" fontId="0" fillId="0" borderId="49" xfId="0" applyFont="1" applyFill="1" applyBorder="1"/>
    <xf numFmtId="0" fontId="0" fillId="0" borderId="50" xfId="0" applyFont="1" applyFill="1" applyBorder="1"/>
    <xf numFmtId="0" fontId="2" fillId="0" borderId="48" xfId="0" applyFont="1" applyFill="1" applyBorder="1"/>
    <xf numFmtId="0" fontId="0" fillId="0" borderId="49" xfId="0" applyFill="1" applyBorder="1"/>
    <xf numFmtId="0" fontId="0" fillId="0" borderId="50" xfId="0" applyFill="1" applyBorder="1"/>
    <xf numFmtId="0" fontId="2" fillId="0" borderId="19" xfId="0" applyFont="1" applyFill="1" applyBorder="1" applyAlignment="1">
      <alignment horizontal="center"/>
    </xf>
    <xf numFmtId="0" fontId="2" fillId="0" borderId="18" xfId="0" applyFont="1" applyFill="1" applyBorder="1" applyAlignment="1">
      <alignment horizontal="center"/>
    </xf>
    <xf numFmtId="0" fontId="2" fillId="0" borderId="26" xfId="0" applyFont="1" applyFill="1" applyBorder="1" applyAlignment="1">
      <alignment horizontal="center"/>
    </xf>
    <xf numFmtId="0" fontId="0" fillId="0" borderId="21" xfId="0" applyFont="1" applyFill="1" applyBorder="1"/>
    <xf numFmtId="0" fontId="0" fillId="0" borderId="36" xfId="0" applyFill="1" applyBorder="1"/>
    <xf numFmtId="0" fontId="0" fillId="0" borderId="51" xfId="0" applyFont="1" applyFill="1" applyBorder="1"/>
    <xf numFmtId="0" fontId="0" fillId="0" borderId="37" xfId="0" applyFill="1" applyBorder="1"/>
    <xf numFmtId="37" fontId="0" fillId="5" borderId="1" xfId="0" applyNumberFormat="1" applyFont="1" applyFill="1" applyBorder="1" applyProtection="1">
      <protection locked="0"/>
    </xf>
    <xf numFmtId="166" fontId="15" fillId="0" borderId="1" xfId="0" applyNumberFormat="1" applyFont="1" applyFill="1" applyBorder="1" applyAlignment="1">
      <alignment horizontal="center" wrapText="1"/>
    </xf>
    <xf numFmtId="5" fontId="14" fillId="5" borderId="3" xfId="1" applyNumberFormat="1" applyFont="1" applyFill="1" applyBorder="1" applyProtection="1">
      <protection locked="0"/>
    </xf>
    <xf numFmtId="0" fontId="3" fillId="0" borderId="46" xfId="7" applyNumberFormat="1" applyFont="1" applyBorder="1" applyAlignment="1">
      <alignment horizontal="center" wrapText="1"/>
    </xf>
    <xf numFmtId="0" fontId="3" fillId="0" borderId="32" xfId="7" applyNumberFormat="1" applyFont="1" applyBorder="1" applyAlignment="1">
      <alignment horizontal="center" wrapText="1"/>
    </xf>
    <xf numFmtId="44" fontId="14" fillId="0" borderId="46" xfId="5" applyFont="1" applyBorder="1" applyAlignment="1">
      <alignment horizontal="center"/>
    </xf>
    <xf numFmtId="44" fontId="14" fillId="0" borderId="39" xfId="5" applyFont="1" applyBorder="1" applyAlignment="1">
      <alignment horizontal="center"/>
    </xf>
    <xf numFmtId="44" fontId="14" fillId="0" borderId="1" xfId="5" applyFont="1" applyBorder="1" applyAlignment="1">
      <alignment horizontal="center"/>
    </xf>
    <xf numFmtId="44" fontId="14" fillId="0" borderId="7" xfId="5" applyFont="1" applyBorder="1" applyAlignment="1">
      <alignment horizontal="center"/>
    </xf>
    <xf numFmtId="10" fontId="0" fillId="5" borderId="1" xfId="0" applyNumberFormat="1" applyFill="1" applyBorder="1" applyAlignment="1" applyProtection="1">
      <protection locked="0"/>
    </xf>
    <xf numFmtId="0" fontId="14" fillId="0" borderId="1" xfId="0" applyFont="1" applyFill="1" applyBorder="1" applyAlignment="1">
      <alignment horizontal="right"/>
    </xf>
    <xf numFmtId="39" fontId="1" fillId="8" borderId="18" xfId="0" applyNumberFormat="1" applyFont="1" applyFill="1" applyBorder="1" applyAlignment="1">
      <alignment wrapText="1"/>
    </xf>
    <xf numFmtId="4" fontId="9" fillId="0" borderId="1" xfId="6" applyNumberFormat="1" applyFont="1" applyBorder="1" applyAlignment="1">
      <alignment horizontal="center" wrapText="1"/>
    </xf>
    <xf numFmtId="4" fontId="9" fillId="5" borderId="1" xfId="6" applyNumberFormat="1" applyFont="1" applyFill="1" applyBorder="1" applyProtection="1">
      <protection locked="0"/>
    </xf>
    <xf numFmtId="4" fontId="9" fillId="0" borderId="1" xfId="6" applyNumberFormat="1" applyFont="1" applyFill="1" applyBorder="1"/>
    <xf numFmtId="4" fontId="9" fillId="0" borderId="23" xfId="6" applyNumberFormat="1" applyFont="1" applyFill="1" applyBorder="1" applyAlignment="1"/>
    <xf numFmtId="0" fontId="14" fillId="5" borderId="1" xfId="0" applyFont="1" applyFill="1" applyBorder="1" applyAlignment="1" applyProtection="1">
      <alignment horizontal="left"/>
      <protection locked="0"/>
    </xf>
    <xf numFmtId="0" fontId="2" fillId="4" borderId="1" xfId="0" applyFont="1" applyFill="1" applyBorder="1" applyAlignment="1">
      <alignment horizontal="left"/>
    </xf>
    <xf numFmtId="0" fontId="3" fillId="4" borderId="1" xfId="0" applyFont="1" applyFill="1" applyBorder="1" applyAlignment="1">
      <alignment horizontal="left"/>
    </xf>
    <xf numFmtId="0" fontId="14" fillId="0" borderId="1" xfId="0" applyFont="1" applyFill="1" applyBorder="1" applyAlignment="1">
      <alignment horizontal="center"/>
    </xf>
    <xf numFmtId="0" fontId="14" fillId="4" borderId="1" xfId="0" applyNumberFormat="1" applyFont="1" applyFill="1" applyBorder="1" applyAlignment="1">
      <alignment horizontal="center"/>
    </xf>
    <xf numFmtId="0" fontId="3" fillId="0" borderId="0" xfId="3" applyFont="1" applyAlignment="1"/>
    <xf numFmtId="0" fontId="12" fillId="0" borderId="0" xfId="3" applyFont="1" applyAlignment="1">
      <alignment horizontal="left"/>
    </xf>
    <xf numFmtId="5" fontId="2" fillId="0" borderId="5" xfId="0" applyNumberFormat="1" applyFont="1" applyBorder="1"/>
    <xf numFmtId="0" fontId="14" fillId="5" borderId="0" xfId="0" applyFont="1" applyFill="1"/>
    <xf numFmtId="0" fontId="0" fillId="0" borderId="1" xfId="0" applyFont="1" applyFill="1" applyBorder="1" applyAlignment="1">
      <alignment horizontal="left" wrapText="1"/>
    </xf>
    <xf numFmtId="41" fontId="0" fillId="0" borderId="1" xfId="4" applyNumberFormat="1" applyFont="1" applyFill="1" applyBorder="1" applyAlignment="1">
      <alignment horizontal="right"/>
    </xf>
    <xf numFmtId="5" fontId="0" fillId="0" borderId="1" xfId="4" applyNumberFormat="1" applyFont="1" applyFill="1" applyBorder="1" applyAlignment="1">
      <alignment horizontal="right"/>
    </xf>
    <xf numFmtId="7" fontId="0" fillId="0" borderId="1" xfId="4" applyNumberFormat="1" applyFont="1" applyFill="1" applyBorder="1" applyAlignment="1">
      <alignment horizontal="right"/>
    </xf>
    <xf numFmtId="37" fontId="0" fillId="5" borderId="1" xfId="0" applyNumberFormat="1" applyFont="1" applyFill="1" applyBorder="1" applyAlignment="1" applyProtection="1">
      <alignment horizontal="right"/>
      <protection locked="0"/>
    </xf>
    <xf numFmtId="5" fontId="0" fillId="0" borderId="1" xfId="0" applyNumberFormat="1" applyFont="1" applyBorder="1" applyAlignment="1">
      <alignment horizontal="right"/>
    </xf>
    <xf numFmtId="5" fontId="0" fillId="5" borderId="1" xfId="0" applyNumberFormat="1" applyFont="1" applyFill="1" applyBorder="1" applyAlignment="1" applyProtection="1">
      <alignment horizontal="right"/>
      <protection locked="0"/>
    </xf>
    <xf numFmtId="0" fontId="29" fillId="0" borderId="0" xfId="3" applyFont="1" applyBorder="1" applyAlignment="1">
      <alignment horizontal="center"/>
    </xf>
    <xf numFmtId="0" fontId="28" fillId="0" borderId="0" xfId="0" applyFont="1" applyBorder="1" applyAlignment="1">
      <alignment horizontal="center"/>
    </xf>
    <xf numFmtId="0" fontId="3" fillId="0" borderId="0" xfId="3" applyFont="1" applyBorder="1" applyAlignment="1">
      <alignment horizontal="center"/>
    </xf>
    <xf numFmtId="0" fontId="14" fillId="0" borderId="0" xfId="0" applyFont="1" applyAlignment="1">
      <alignment horizontal="center"/>
    </xf>
    <xf numFmtId="0" fontId="10" fillId="0" borderId="0" xfId="3" applyFont="1" applyBorder="1" applyAlignment="1">
      <alignment horizontal="left" vertical="top"/>
    </xf>
    <xf numFmtId="0" fontId="4" fillId="0" borderId="14" xfId="3" applyFont="1" applyBorder="1" applyAlignment="1">
      <alignment horizontal="left" vertical="center" wrapText="1"/>
    </xf>
    <xf numFmtId="0" fontId="4" fillId="0" borderId="4" xfId="3" applyFont="1" applyBorder="1" applyAlignment="1">
      <alignment horizontal="left" vertical="center" wrapText="1"/>
    </xf>
    <xf numFmtId="0" fontId="4" fillId="0" borderId="12" xfId="3" applyFont="1" applyBorder="1" applyAlignment="1">
      <alignment horizontal="left" vertical="center" wrapText="1"/>
    </xf>
    <xf numFmtId="0" fontId="4" fillId="0" borderId="13" xfId="3" applyFont="1" applyBorder="1" applyAlignment="1">
      <alignment horizontal="left" vertical="center" wrapText="1"/>
    </xf>
    <xf numFmtId="0" fontId="33" fillId="0" borderId="12" xfId="0" applyFont="1" applyBorder="1" applyAlignment="1">
      <alignment horizontal="left" vertical="center" wrapText="1"/>
    </xf>
    <xf numFmtId="0" fontId="33" fillId="0" borderId="13" xfId="0" applyFont="1" applyBorder="1" applyAlignment="1">
      <alignment horizontal="left" vertical="center" wrapText="1"/>
    </xf>
    <xf numFmtId="0" fontId="3" fillId="0" borderId="0" xfId="3" applyFont="1" applyAlignment="1">
      <alignment readingOrder="1"/>
    </xf>
    <xf numFmtId="0" fontId="0" fillId="0" borderId="0" xfId="0" applyAlignment="1">
      <alignment readingOrder="1"/>
    </xf>
    <xf numFmtId="0" fontId="9" fillId="0" borderId="39" xfId="6" applyFont="1" applyBorder="1" applyAlignment="1">
      <alignment horizontal="center"/>
    </xf>
    <xf numFmtId="0" fontId="9" fillId="0" borderId="0" xfId="6" applyFont="1" applyBorder="1" applyAlignment="1">
      <alignment horizontal="center"/>
    </xf>
    <xf numFmtId="0" fontId="29" fillId="0" borderId="0" xfId="3" applyFont="1" applyAlignment="1">
      <alignment horizontal="center" wrapText="1"/>
    </xf>
    <xf numFmtId="0" fontId="28" fillId="0" borderId="0" xfId="0" applyFont="1" applyAlignment="1">
      <alignment horizontal="center" wrapText="1"/>
    </xf>
    <xf numFmtId="0" fontId="29" fillId="0" borderId="0" xfId="6" applyFont="1" applyAlignment="1">
      <alignment horizontal="center" wrapText="1"/>
    </xf>
    <xf numFmtId="0" fontId="26" fillId="0" borderId="0" xfId="0" applyFont="1" applyAlignment="1">
      <alignment horizontal="center" wrapText="1"/>
    </xf>
    <xf numFmtId="0" fontId="3" fillId="0" borderId="19" xfId="6" applyFont="1" applyBorder="1" applyAlignment="1">
      <alignment horizontal="center"/>
    </xf>
    <xf numFmtId="0" fontId="14" fillId="0" borderId="18" xfId="0" applyFont="1" applyBorder="1" applyAlignment="1"/>
    <xf numFmtId="0" fontId="14" fillId="0" borderId="26" xfId="0" applyFont="1" applyBorder="1" applyAlignment="1"/>
    <xf numFmtId="0" fontId="29" fillId="0" borderId="0" xfId="6" applyFont="1" applyAlignment="1">
      <alignment horizontal="center"/>
    </xf>
    <xf numFmtId="0" fontId="26" fillId="0" borderId="0" xfId="0" applyFont="1" applyAlignment="1"/>
    <xf numFmtId="0" fontId="12" fillId="0" borderId="0" xfId="6" applyFont="1" applyBorder="1" applyAlignment="1">
      <alignment horizontal="center"/>
    </xf>
    <xf numFmtId="0" fontId="12" fillId="0" borderId="0" xfId="0" applyFont="1" applyBorder="1" applyAlignment="1">
      <alignment horizontal="center"/>
    </xf>
    <xf numFmtId="0" fontId="27" fillId="0" borderId="0" xfId="3" applyFont="1" applyAlignment="1">
      <alignment horizontal="center" wrapText="1"/>
    </xf>
    <xf numFmtId="0" fontId="0" fillId="0" borderId="0" xfId="0" applyAlignment="1">
      <alignment horizontal="center" wrapText="1"/>
    </xf>
    <xf numFmtId="0" fontId="27" fillId="0" borderId="0" xfId="0" applyFont="1" applyAlignment="1">
      <alignment horizontal="center" wrapText="1"/>
    </xf>
    <xf numFmtId="0" fontId="3" fillId="0" borderId="0" xfId="3" applyFont="1" applyFill="1" applyAlignment="1">
      <alignment horizontal="center" wrapText="1"/>
    </xf>
    <xf numFmtId="0" fontId="3" fillId="0" borderId="0" xfId="6" applyFont="1" applyAlignment="1">
      <alignment horizontal="center"/>
    </xf>
    <xf numFmtId="0" fontId="14" fillId="0" borderId="0" xfId="0" applyFont="1" applyAlignment="1"/>
    <xf numFmtId="0" fontId="0" fillId="0" borderId="0" xfId="0" applyAlignment="1"/>
    <xf numFmtId="0" fontId="0" fillId="0" borderId="0" xfId="0" applyAlignment="1">
      <alignment horizontal="center"/>
    </xf>
    <xf numFmtId="0" fontId="2" fillId="0" borderId="41" xfId="0" applyFont="1" applyBorder="1" applyAlignment="1">
      <alignment horizontal="center" vertical="center" wrapText="1"/>
    </xf>
    <xf numFmtId="0" fontId="0" fillId="0" borderId="42" xfId="0" applyBorder="1" applyAlignment="1">
      <alignment horizontal="center" vertical="center" wrapText="1"/>
    </xf>
    <xf numFmtId="0" fontId="0" fillId="0" borderId="43" xfId="0" applyBorder="1" applyAlignment="1">
      <alignment horizontal="center" vertical="center" wrapText="1"/>
    </xf>
    <xf numFmtId="0" fontId="35" fillId="0" borderId="41" xfId="0" applyFont="1" applyBorder="1" applyAlignment="1">
      <alignment horizontal="center" vertical="center" wrapText="1"/>
    </xf>
    <xf numFmtId="0" fontId="36" fillId="0" borderId="43" xfId="0" applyFont="1" applyBorder="1" applyAlignment="1">
      <alignment horizontal="center" vertical="center" wrapText="1"/>
    </xf>
    <xf numFmtId="0" fontId="36" fillId="0" borderId="42" xfId="0" applyFont="1" applyBorder="1" applyAlignment="1">
      <alignment horizontal="center" vertical="center" wrapText="1"/>
    </xf>
    <xf numFmtId="0" fontId="35" fillId="0" borderId="44" xfId="0" applyFont="1" applyBorder="1" applyAlignment="1">
      <alignment horizontal="center" vertical="center" wrapText="1"/>
    </xf>
    <xf numFmtId="0" fontId="36" fillId="0" borderId="45" xfId="0" applyFont="1" applyBorder="1" applyAlignment="1">
      <alignment horizontal="center" vertical="center" wrapText="1"/>
    </xf>
    <xf numFmtId="0" fontId="12" fillId="0" borderId="1" xfId="6" applyFont="1" applyBorder="1" applyAlignment="1">
      <alignment horizontal="center" wrapText="1"/>
    </xf>
    <xf numFmtId="0" fontId="0" fillId="0" borderId="1" xfId="0" applyBorder="1" applyAlignment="1">
      <alignment horizontal="center" wrapText="1"/>
    </xf>
    <xf numFmtId="0" fontId="24" fillId="7" borderId="19" xfId="0" applyFont="1" applyFill="1" applyBorder="1" applyAlignment="1">
      <alignment horizontal="center" wrapText="1"/>
    </xf>
    <xf numFmtId="0" fontId="24" fillId="7" borderId="18" xfId="0" applyFont="1" applyFill="1" applyBorder="1" applyAlignment="1">
      <alignment horizontal="center" wrapText="1"/>
    </xf>
    <xf numFmtId="0" fontId="0" fillId="7" borderId="18" xfId="0" applyFill="1" applyBorder="1" applyAlignment="1"/>
    <xf numFmtId="0" fontId="0" fillId="7" borderId="26" xfId="0" applyFill="1" applyBorder="1" applyAlignment="1"/>
    <xf numFmtId="0" fontId="25" fillId="7" borderId="18" xfId="0" applyFont="1" applyFill="1" applyBorder="1" applyAlignment="1">
      <alignment horizontal="center" wrapText="1"/>
    </xf>
    <xf numFmtId="0" fontId="0" fillId="7" borderId="18" xfId="0" applyFill="1" applyBorder="1" applyAlignment="1">
      <alignment wrapText="1"/>
    </xf>
    <xf numFmtId="0" fontId="0" fillId="7" borderId="26" xfId="0" applyFill="1" applyBorder="1" applyAlignment="1">
      <alignment wrapText="1"/>
    </xf>
    <xf numFmtId="0" fontId="2" fillId="0" borderId="5" xfId="0" applyFont="1" applyBorder="1" applyAlignment="1">
      <alignment horizontal="center"/>
    </xf>
    <xf numFmtId="0" fontId="0" fillId="0" borderId="2" xfId="0" applyBorder="1" applyAlignment="1">
      <alignment horizontal="center"/>
    </xf>
    <xf numFmtId="0" fontId="28" fillId="0" borderId="0" xfId="0" applyFont="1" applyAlignment="1"/>
    <xf numFmtId="0" fontId="29" fillId="0" borderId="0" xfId="0" applyFont="1" applyAlignment="1">
      <alignment horizontal="center" wrapText="1"/>
    </xf>
    <xf numFmtId="0" fontId="29" fillId="0" borderId="0" xfId="3" applyFont="1" applyFill="1" applyAlignment="1">
      <alignment horizontal="center" wrapText="1"/>
    </xf>
    <xf numFmtId="0" fontId="29" fillId="0" borderId="0" xfId="6" applyFont="1" applyBorder="1" applyAlignment="1">
      <alignment horizontal="center"/>
    </xf>
    <xf numFmtId="0" fontId="28" fillId="0" borderId="0" xfId="0" applyFont="1" applyAlignment="1">
      <alignment horizontal="center"/>
    </xf>
  </cellXfs>
  <cellStyles count="11">
    <cellStyle name="Comma" xfId="4" builtinId="3"/>
    <cellStyle name="Comma 2" xfId="9" xr:uid="{00000000-0005-0000-0000-000001000000}"/>
    <cellStyle name="Currency" xfId="5" builtinId="4"/>
    <cellStyle name="Hyperlink" xfId="2" builtinId="8"/>
    <cellStyle name="Normal" xfId="0" builtinId="0"/>
    <cellStyle name="Normal 2" xfId="3" xr:uid="{00000000-0005-0000-0000-000005000000}"/>
    <cellStyle name="Normal 3" xfId="6" xr:uid="{00000000-0005-0000-0000-000006000000}"/>
    <cellStyle name="Normal_nhcallo" xfId="7" xr:uid="{00000000-0005-0000-0000-000007000000}"/>
    <cellStyle name="Normal_Sheet3" xfId="8" xr:uid="{00000000-0005-0000-0000-000008000000}"/>
    <cellStyle name="Percent" xfId="1" builtinId="5"/>
    <cellStyle name="Percent 2" xfId="10" xr:uid="{00000000-0005-0000-0000-00000A000000}"/>
  </cellStyles>
  <dxfs count="0"/>
  <tableStyles count="0" defaultTableStyle="TableStyleMedium9" defaultPivotStyle="PivotStyleLight16"/>
  <colors>
    <mruColors>
      <color rgb="FFFFFFCC"/>
      <color rgb="FFFFFF99"/>
      <color rgb="FFF2DBD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51"/>
  <sheetViews>
    <sheetView tabSelected="1" zoomScaleNormal="100" workbookViewId="0">
      <selection activeCell="B6" sqref="B6"/>
    </sheetView>
  </sheetViews>
  <sheetFormatPr defaultRowHeight="15" customHeight="1" x14ac:dyDescent="0.2"/>
  <cols>
    <col min="1" max="1" width="52.7109375" style="4" customWidth="1"/>
    <col min="2" max="2" width="104.7109375" style="4" customWidth="1"/>
    <col min="3" max="3" width="18.42578125" style="4" customWidth="1"/>
    <col min="4" max="4" width="10.42578125" style="4" customWidth="1"/>
    <col min="5" max="256" width="9.28515625" style="4"/>
    <col min="257" max="257" width="41.28515625" style="4" customWidth="1"/>
    <col min="258" max="258" width="67.5703125" style="4" customWidth="1"/>
    <col min="259" max="260" width="0" style="4" hidden="1" customWidth="1"/>
    <col min="261" max="512" width="9.28515625" style="4"/>
    <col min="513" max="513" width="41.28515625" style="4" customWidth="1"/>
    <col min="514" max="514" width="67.5703125" style="4" customWidth="1"/>
    <col min="515" max="516" width="0" style="4" hidden="1" customWidth="1"/>
    <col min="517" max="768" width="9.28515625" style="4"/>
    <col min="769" max="769" width="41.28515625" style="4" customWidth="1"/>
    <col min="770" max="770" width="67.5703125" style="4" customWidth="1"/>
    <col min="771" max="772" width="0" style="4" hidden="1" customWidth="1"/>
    <col min="773" max="1024" width="9.28515625" style="4"/>
    <col min="1025" max="1025" width="41.28515625" style="4" customWidth="1"/>
    <col min="1026" max="1026" width="67.5703125" style="4" customWidth="1"/>
    <col min="1027" max="1028" width="0" style="4" hidden="1" customWidth="1"/>
    <col min="1029" max="1280" width="9.28515625" style="4"/>
    <col min="1281" max="1281" width="41.28515625" style="4" customWidth="1"/>
    <col min="1282" max="1282" width="67.5703125" style="4" customWidth="1"/>
    <col min="1283" max="1284" width="0" style="4" hidden="1" customWidth="1"/>
    <col min="1285" max="1536" width="9.28515625" style="4"/>
    <col min="1537" max="1537" width="41.28515625" style="4" customWidth="1"/>
    <col min="1538" max="1538" width="67.5703125" style="4" customWidth="1"/>
    <col min="1539" max="1540" width="0" style="4" hidden="1" customWidth="1"/>
    <col min="1541" max="1792" width="9.28515625" style="4"/>
    <col min="1793" max="1793" width="41.28515625" style="4" customWidth="1"/>
    <col min="1794" max="1794" width="67.5703125" style="4" customWidth="1"/>
    <col min="1795" max="1796" width="0" style="4" hidden="1" customWidth="1"/>
    <col min="1797" max="2048" width="9.28515625" style="4"/>
    <col min="2049" max="2049" width="41.28515625" style="4" customWidth="1"/>
    <col min="2050" max="2050" width="67.5703125" style="4" customWidth="1"/>
    <col min="2051" max="2052" width="0" style="4" hidden="1" customWidth="1"/>
    <col min="2053" max="2304" width="9.28515625" style="4"/>
    <col min="2305" max="2305" width="41.28515625" style="4" customWidth="1"/>
    <col min="2306" max="2306" width="67.5703125" style="4" customWidth="1"/>
    <col min="2307" max="2308" width="0" style="4" hidden="1" customWidth="1"/>
    <col min="2309" max="2560" width="9.28515625" style="4"/>
    <col min="2561" max="2561" width="41.28515625" style="4" customWidth="1"/>
    <col min="2562" max="2562" width="67.5703125" style="4" customWidth="1"/>
    <col min="2563" max="2564" width="0" style="4" hidden="1" customWidth="1"/>
    <col min="2565" max="2816" width="9.28515625" style="4"/>
    <col min="2817" max="2817" width="41.28515625" style="4" customWidth="1"/>
    <col min="2818" max="2818" width="67.5703125" style="4" customWidth="1"/>
    <col min="2819" max="2820" width="0" style="4" hidden="1" customWidth="1"/>
    <col min="2821" max="3072" width="9.28515625" style="4"/>
    <col min="3073" max="3073" width="41.28515625" style="4" customWidth="1"/>
    <col min="3074" max="3074" width="67.5703125" style="4" customWidth="1"/>
    <col min="3075" max="3076" width="0" style="4" hidden="1" customWidth="1"/>
    <col min="3077" max="3328" width="9.28515625" style="4"/>
    <col min="3329" max="3329" width="41.28515625" style="4" customWidth="1"/>
    <col min="3330" max="3330" width="67.5703125" style="4" customWidth="1"/>
    <col min="3331" max="3332" width="0" style="4" hidden="1" customWidth="1"/>
    <col min="3333" max="3584" width="9.28515625" style="4"/>
    <col min="3585" max="3585" width="41.28515625" style="4" customWidth="1"/>
    <col min="3586" max="3586" width="67.5703125" style="4" customWidth="1"/>
    <col min="3587" max="3588" width="0" style="4" hidden="1" customWidth="1"/>
    <col min="3589" max="3840" width="9.28515625" style="4"/>
    <col min="3841" max="3841" width="41.28515625" style="4" customWidth="1"/>
    <col min="3842" max="3842" width="67.5703125" style="4" customWidth="1"/>
    <col min="3843" max="3844" width="0" style="4" hidden="1" customWidth="1"/>
    <col min="3845" max="4096" width="9.28515625" style="4"/>
    <col min="4097" max="4097" width="41.28515625" style="4" customWidth="1"/>
    <col min="4098" max="4098" width="67.5703125" style="4" customWidth="1"/>
    <col min="4099" max="4100" width="0" style="4" hidden="1" customWidth="1"/>
    <col min="4101" max="4352" width="9.28515625" style="4"/>
    <col min="4353" max="4353" width="41.28515625" style="4" customWidth="1"/>
    <col min="4354" max="4354" width="67.5703125" style="4" customWidth="1"/>
    <col min="4355" max="4356" width="0" style="4" hidden="1" customWidth="1"/>
    <col min="4357" max="4608" width="9.28515625" style="4"/>
    <col min="4609" max="4609" width="41.28515625" style="4" customWidth="1"/>
    <col min="4610" max="4610" width="67.5703125" style="4" customWidth="1"/>
    <col min="4611" max="4612" width="0" style="4" hidden="1" customWidth="1"/>
    <col min="4613" max="4864" width="9.28515625" style="4"/>
    <col min="4865" max="4865" width="41.28515625" style="4" customWidth="1"/>
    <col min="4866" max="4866" width="67.5703125" style="4" customWidth="1"/>
    <col min="4867" max="4868" width="0" style="4" hidden="1" customWidth="1"/>
    <col min="4869" max="5120" width="9.28515625" style="4"/>
    <col min="5121" max="5121" width="41.28515625" style="4" customWidth="1"/>
    <col min="5122" max="5122" width="67.5703125" style="4" customWidth="1"/>
    <col min="5123" max="5124" width="0" style="4" hidden="1" customWidth="1"/>
    <col min="5125" max="5376" width="9.28515625" style="4"/>
    <col min="5377" max="5377" width="41.28515625" style="4" customWidth="1"/>
    <col min="5378" max="5378" width="67.5703125" style="4" customWidth="1"/>
    <col min="5379" max="5380" width="0" style="4" hidden="1" customWidth="1"/>
    <col min="5381" max="5632" width="9.28515625" style="4"/>
    <col min="5633" max="5633" width="41.28515625" style="4" customWidth="1"/>
    <col min="5634" max="5634" width="67.5703125" style="4" customWidth="1"/>
    <col min="5635" max="5636" width="0" style="4" hidden="1" customWidth="1"/>
    <col min="5637" max="5888" width="9.28515625" style="4"/>
    <col min="5889" max="5889" width="41.28515625" style="4" customWidth="1"/>
    <col min="5890" max="5890" width="67.5703125" style="4" customWidth="1"/>
    <col min="5891" max="5892" width="0" style="4" hidden="1" customWidth="1"/>
    <col min="5893" max="6144" width="9.28515625" style="4"/>
    <col min="6145" max="6145" width="41.28515625" style="4" customWidth="1"/>
    <col min="6146" max="6146" width="67.5703125" style="4" customWidth="1"/>
    <col min="6147" max="6148" width="0" style="4" hidden="1" customWidth="1"/>
    <col min="6149" max="6400" width="9.28515625" style="4"/>
    <col min="6401" max="6401" width="41.28515625" style="4" customWidth="1"/>
    <col min="6402" max="6402" width="67.5703125" style="4" customWidth="1"/>
    <col min="6403" max="6404" width="0" style="4" hidden="1" customWidth="1"/>
    <col min="6405" max="6656" width="9.28515625" style="4"/>
    <col min="6657" max="6657" width="41.28515625" style="4" customWidth="1"/>
    <col min="6658" max="6658" width="67.5703125" style="4" customWidth="1"/>
    <col min="6659" max="6660" width="0" style="4" hidden="1" customWidth="1"/>
    <col min="6661" max="6912" width="9.28515625" style="4"/>
    <col min="6913" max="6913" width="41.28515625" style="4" customWidth="1"/>
    <col min="6914" max="6914" width="67.5703125" style="4" customWidth="1"/>
    <col min="6915" max="6916" width="0" style="4" hidden="1" customWidth="1"/>
    <col min="6917" max="7168" width="9.28515625" style="4"/>
    <col min="7169" max="7169" width="41.28515625" style="4" customWidth="1"/>
    <col min="7170" max="7170" width="67.5703125" style="4" customWidth="1"/>
    <col min="7171" max="7172" width="0" style="4" hidden="1" customWidth="1"/>
    <col min="7173" max="7424" width="9.28515625" style="4"/>
    <col min="7425" max="7425" width="41.28515625" style="4" customWidth="1"/>
    <col min="7426" max="7426" width="67.5703125" style="4" customWidth="1"/>
    <col min="7427" max="7428" width="0" style="4" hidden="1" customWidth="1"/>
    <col min="7429" max="7680" width="9.28515625" style="4"/>
    <col min="7681" max="7681" width="41.28515625" style="4" customWidth="1"/>
    <col min="7682" max="7682" width="67.5703125" style="4" customWidth="1"/>
    <col min="7683" max="7684" width="0" style="4" hidden="1" customWidth="1"/>
    <col min="7685" max="7936" width="9.28515625" style="4"/>
    <col min="7937" max="7937" width="41.28515625" style="4" customWidth="1"/>
    <col min="7938" max="7938" width="67.5703125" style="4" customWidth="1"/>
    <col min="7939" max="7940" width="0" style="4" hidden="1" customWidth="1"/>
    <col min="7941" max="8192" width="9.28515625" style="4"/>
    <col min="8193" max="8193" width="41.28515625" style="4" customWidth="1"/>
    <col min="8194" max="8194" width="67.5703125" style="4" customWidth="1"/>
    <col min="8195" max="8196" width="0" style="4" hidden="1" customWidth="1"/>
    <col min="8197" max="8448" width="9.28515625" style="4"/>
    <col min="8449" max="8449" width="41.28515625" style="4" customWidth="1"/>
    <col min="8450" max="8450" width="67.5703125" style="4" customWidth="1"/>
    <col min="8451" max="8452" width="0" style="4" hidden="1" customWidth="1"/>
    <col min="8453" max="8704" width="9.28515625" style="4"/>
    <col min="8705" max="8705" width="41.28515625" style="4" customWidth="1"/>
    <col min="8706" max="8706" width="67.5703125" style="4" customWidth="1"/>
    <col min="8707" max="8708" width="0" style="4" hidden="1" customWidth="1"/>
    <col min="8709" max="8960" width="9.28515625" style="4"/>
    <col min="8961" max="8961" width="41.28515625" style="4" customWidth="1"/>
    <col min="8962" max="8962" width="67.5703125" style="4" customWidth="1"/>
    <col min="8963" max="8964" width="0" style="4" hidden="1" customWidth="1"/>
    <col min="8965" max="9216" width="9.28515625" style="4"/>
    <col min="9217" max="9217" width="41.28515625" style="4" customWidth="1"/>
    <col min="9218" max="9218" width="67.5703125" style="4" customWidth="1"/>
    <col min="9219" max="9220" width="0" style="4" hidden="1" customWidth="1"/>
    <col min="9221" max="9472" width="9.28515625" style="4"/>
    <col min="9473" max="9473" width="41.28515625" style="4" customWidth="1"/>
    <col min="9474" max="9474" width="67.5703125" style="4" customWidth="1"/>
    <col min="9475" max="9476" width="0" style="4" hidden="1" customWidth="1"/>
    <col min="9477" max="9728" width="9.28515625" style="4"/>
    <col min="9729" max="9729" width="41.28515625" style="4" customWidth="1"/>
    <col min="9730" max="9730" width="67.5703125" style="4" customWidth="1"/>
    <col min="9731" max="9732" width="0" style="4" hidden="1" customWidth="1"/>
    <col min="9733" max="9984" width="9.28515625" style="4"/>
    <col min="9985" max="9985" width="41.28515625" style="4" customWidth="1"/>
    <col min="9986" max="9986" width="67.5703125" style="4" customWidth="1"/>
    <col min="9987" max="9988" width="0" style="4" hidden="1" customWidth="1"/>
    <col min="9989" max="10240" width="9.28515625" style="4"/>
    <col min="10241" max="10241" width="41.28515625" style="4" customWidth="1"/>
    <col min="10242" max="10242" width="67.5703125" style="4" customWidth="1"/>
    <col min="10243" max="10244" width="0" style="4" hidden="1" customWidth="1"/>
    <col min="10245" max="10496" width="9.28515625" style="4"/>
    <col min="10497" max="10497" width="41.28515625" style="4" customWidth="1"/>
    <col min="10498" max="10498" width="67.5703125" style="4" customWidth="1"/>
    <col min="10499" max="10500" width="0" style="4" hidden="1" customWidth="1"/>
    <col min="10501" max="10752" width="9.28515625" style="4"/>
    <col min="10753" max="10753" width="41.28515625" style="4" customWidth="1"/>
    <col min="10754" max="10754" width="67.5703125" style="4" customWidth="1"/>
    <col min="10755" max="10756" width="0" style="4" hidden="1" customWidth="1"/>
    <col min="10757" max="11008" width="9.28515625" style="4"/>
    <col min="11009" max="11009" width="41.28515625" style="4" customWidth="1"/>
    <col min="11010" max="11010" width="67.5703125" style="4" customWidth="1"/>
    <col min="11011" max="11012" width="0" style="4" hidden="1" customWidth="1"/>
    <col min="11013" max="11264" width="9.28515625" style="4"/>
    <col min="11265" max="11265" width="41.28515625" style="4" customWidth="1"/>
    <col min="11266" max="11266" width="67.5703125" style="4" customWidth="1"/>
    <col min="11267" max="11268" width="0" style="4" hidden="1" customWidth="1"/>
    <col min="11269" max="11520" width="9.28515625" style="4"/>
    <col min="11521" max="11521" width="41.28515625" style="4" customWidth="1"/>
    <col min="11522" max="11522" width="67.5703125" style="4" customWidth="1"/>
    <col min="11523" max="11524" width="0" style="4" hidden="1" customWidth="1"/>
    <col min="11525" max="11776" width="9.28515625" style="4"/>
    <col min="11777" max="11777" width="41.28515625" style="4" customWidth="1"/>
    <col min="11778" max="11778" width="67.5703125" style="4" customWidth="1"/>
    <col min="11779" max="11780" width="0" style="4" hidden="1" customWidth="1"/>
    <col min="11781" max="12032" width="9.28515625" style="4"/>
    <col min="12033" max="12033" width="41.28515625" style="4" customWidth="1"/>
    <col min="12034" max="12034" width="67.5703125" style="4" customWidth="1"/>
    <col min="12035" max="12036" width="0" style="4" hidden="1" customWidth="1"/>
    <col min="12037" max="12288" width="9.28515625" style="4"/>
    <col min="12289" max="12289" width="41.28515625" style="4" customWidth="1"/>
    <col min="12290" max="12290" width="67.5703125" style="4" customWidth="1"/>
    <col min="12291" max="12292" width="0" style="4" hidden="1" customWidth="1"/>
    <col min="12293" max="12544" width="9.28515625" style="4"/>
    <col min="12545" max="12545" width="41.28515625" style="4" customWidth="1"/>
    <col min="12546" max="12546" width="67.5703125" style="4" customWidth="1"/>
    <col min="12547" max="12548" width="0" style="4" hidden="1" customWidth="1"/>
    <col min="12549" max="12800" width="9.28515625" style="4"/>
    <col min="12801" max="12801" width="41.28515625" style="4" customWidth="1"/>
    <col min="12802" max="12802" width="67.5703125" style="4" customWidth="1"/>
    <col min="12803" max="12804" width="0" style="4" hidden="1" customWidth="1"/>
    <col min="12805" max="13056" width="9.28515625" style="4"/>
    <col min="13057" max="13057" width="41.28515625" style="4" customWidth="1"/>
    <col min="13058" max="13058" width="67.5703125" style="4" customWidth="1"/>
    <col min="13059" max="13060" width="0" style="4" hidden="1" customWidth="1"/>
    <col min="13061" max="13312" width="9.28515625" style="4"/>
    <col min="13313" max="13313" width="41.28515625" style="4" customWidth="1"/>
    <col min="13314" max="13314" width="67.5703125" style="4" customWidth="1"/>
    <col min="13315" max="13316" width="0" style="4" hidden="1" customWidth="1"/>
    <col min="13317" max="13568" width="9.28515625" style="4"/>
    <col min="13569" max="13569" width="41.28515625" style="4" customWidth="1"/>
    <col min="13570" max="13570" width="67.5703125" style="4" customWidth="1"/>
    <col min="13571" max="13572" width="0" style="4" hidden="1" customWidth="1"/>
    <col min="13573" max="13824" width="9.28515625" style="4"/>
    <col min="13825" max="13825" width="41.28515625" style="4" customWidth="1"/>
    <col min="13826" max="13826" width="67.5703125" style="4" customWidth="1"/>
    <col min="13827" max="13828" width="0" style="4" hidden="1" customWidth="1"/>
    <col min="13829" max="14080" width="9.28515625" style="4"/>
    <col min="14081" max="14081" width="41.28515625" style="4" customWidth="1"/>
    <col min="14082" max="14082" width="67.5703125" style="4" customWidth="1"/>
    <col min="14083" max="14084" width="0" style="4" hidden="1" customWidth="1"/>
    <col min="14085" max="14336" width="9.28515625" style="4"/>
    <col min="14337" max="14337" width="41.28515625" style="4" customWidth="1"/>
    <col min="14338" max="14338" width="67.5703125" style="4" customWidth="1"/>
    <col min="14339" max="14340" width="0" style="4" hidden="1" customWidth="1"/>
    <col min="14341" max="14592" width="9.28515625" style="4"/>
    <col min="14593" max="14593" width="41.28515625" style="4" customWidth="1"/>
    <col min="14594" max="14594" width="67.5703125" style="4" customWidth="1"/>
    <col min="14595" max="14596" width="0" style="4" hidden="1" customWidth="1"/>
    <col min="14597" max="14848" width="9.28515625" style="4"/>
    <col min="14849" max="14849" width="41.28515625" style="4" customWidth="1"/>
    <col min="14850" max="14850" width="67.5703125" style="4" customWidth="1"/>
    <col min="14851" max="14852" width="0" style="4" hidden="1" customWidth="1"/>
    <col min="14853" max="15104" width="9.28515625" style="4"/>
    <col min="15105" max="15105" width="41.28515625" style="4" customWidth="1"/>
    <col min="15106" max="15106" width="67.5703125" style="4" customWidth="1"/>
    <col min="15107" max="15108" width="0" style="4" hidden="1" customWidth="1"/>
    <col min="15109" max="15360" width="9.28515625" style="4"/>
    <col min="15361" max="15361" width="41.28515625" style="4" customWidth="1"/>
    <col min="15362" max="15362" width="67.5703125" style="4" customWidth="1"/>
    <col min="15363" max="15364" width="0" style="4" hidden="1" customWidth="1"/>
    <col min="15365" max="15616" width="9.28515625" style="4"/>
    <col min="15617" max="15617" width="41.28515625" style="4" customWidth="1"/>
    <col min="15618" max="15618" width="67.5703125" style="4" customWidth="1"/>
    <col min="15619" max="15620" width="0" style="4" hidden="1" customWidth="1"/>
    <col min="15621" max="15872" width="9.28515625" style="4"/>
    <col min="15873" max="15873" width="41.28515625" style="4" customWidth="1"/>
    <col min="15874" max="15874" width="67.5703125" style="4" customWidth="1"/>
    <col min="15875" max="15876" width="0" style="4" hidden="1" customWidth="1"/>
    <col min="15877" max="16128" width="9.28515625" style="4"/>
    <col min="16129" max="16129" width="41.28515625" style="4" customWidth="1"/>
    <col min="16130" max="16130" width="67.5703125" style="4" customWidth="1"/>
    <col min="16131" max="16132" width="0" style="4" hidden="1" customWidth="1"/>
    <col min="16133" max="16384" width="9.28515625" style="4"/>
  </cols>
  <sheetData>
    <row r="1" spans="1:4" s="1" customFormat="1" ht="25.15" customHeight="1" x14ac:dyDescent="0.25">
      <c r="A1" s="625" t="s">
        <v>66</v>
      </c>
      <c r="B1" s="626"/>
      <c r="C1" s="393"/>
      <c r="D1" s="393"/>
    </row>
    <row r="2" spans="1:4" s="1" customFormat="1" ht="25.15" customHeight="1" x14ac:dyDescent="0.25">
      <c r="A2" s="625" t="s">
        <v>67</v>
      </c>
      <c r="B2" s="626"/>
      <c r="C2" s="393"/>
      <c r="D2" s="393"/>
    </row>
    <row r="3" spans="1:4" s="1" customFormat="1" ht="25.15" customHeight="1" x14ac:dyDescent="0.25">
      <c r="A3" s="625" t="s">
        <v>211</v>
      </c>
      <c r="B3" s="626"/>
      <c r="C3" s="65"/>
      <c r="D3" s="65"/>
    </row>
    <row r="4" spans="1:4" s="1" customFormat="1" ht="25.15" customHeight="1" x14ac:dyDescent="0.25">
      <c r="A4" s="627" t="s">
        <v>212</v>
      </c>
      <c r="B4" s="628"/>
      <c r="C4" s="393"/>
      <c r="D4" s="393"/>
    </row>
    <row r="5" spans="1:4" s="1" customFormat="1" ht="17.100000000000001" customHeight="1" x14ac:dyDescent="0.25">
      <c r="A5" s="396"/>
      <c r="B5" s="397"/>
      <c r="C5" s="393"/>
      <c r="D5" s="393"/>
    </row>
    <row r="6" spans="1:4" s="2" customFormat="1" ht="25.15" customHeight="1" x14ac:dyDescent="0.2">
      <c r="A6" s="510" t="s">
        <v>26</v>
      </c>
      <c r="B6" s="503"/>
      <c r="C6" s="12"/>
      <c r="D6" s="12"/>
    </row>
    <row r="7" spans="1:4" s="2" customFormat="1" ht="25.15" customHeight="1" x14ac:dyDescent="0.2">
      <c r="A7" s="511" t="s">
        <v>34</v>
      </c>
      <c r="B7" s="504"/>
      <c r="C7" s="3"/>
      <c r="D7" s="3"/>
    </row>
    <row r="8" spans="1:4" ht="25.15" customHeight="1" x14ac:dyDescent="0.2">
      <c r="A8" s="407"/>
      <c r="B8" s="500"/>
    </row>
    <row r="9" spans="1:4" s="5" customFormat="1" ht="25.15" customHeight="1" x14ac:dyDescent="0.2">
      <c r="A9" s="405" t="s">
        <v>216</v>
      </c>
      <c r="B9" s="505"/>
    </row>
    <row r="10" spans="1:4" s="6" customFormat="1" ht="25.15" customHeight="1" x14ac:dyDescent="0.2">
      <c r="A10" s="509" t="s">
        <v>15</v>
      </c>
      <c r="B10" s="506"/>
    </row>
    <row r="11" spans="1:4" s="6" customFormat="1" ht="25.15" customHeight="1" x14ac:dyDescent="0.2">
      <c r="A11" s="509" t="s">
        <v>16</v>
      </c>
      <c r="B11" s="507"/>
    </row>
    <row r="12" spans="1:4" s="6" customFormat="1" ht="25.15" customHeight="1" x14ac:dyDescent="0.2">
      <c r="A12" s="509" t="s">
        <v>17</v>
      </c>
      <c r="B12" s="501"/>
    </row>
    <row r="13" spans="1:4" s="6" customFormat="1" ht="25.15" customHeight="1" x14ac:dyDescent="0.2">
      <c r="A13" s="509" t="s">
        <v>0</v>
      </c>
      <c r="B13" s="501"/>
    </row>
    <row r="14" spans="1:4" s="6" customFormat="1" ht="25.15" customHeight="1" x14ac:dyDescent="0.2">
      <c r="A14" s="509" t="s">
        <v>1</v>
      </c>
      <c r="B14" s="501"/>
    </row>
    <row r="15" spans="1:4" s="6" customFormat="1" ht="25.15" customHeight="1" x14ac:dyDescent="0.2">
      <c r="A15" s="509" t="s">
        <v>2</v>
      </c>
      <c r="B15" s="508"/>
    </row>
    <row r="16" spans="1:4" s="6" customFormat="1" ht="25.15" customHeight="1" x14ac:dyDescent="0.2">
      <c r="A16" s="401"/>
      <c r="B16" s="401"/>
    </row>
    <row r="17" spans="1:2" s="5" customFormat="1" ht="25.15" customHeight="1" x14ac:dyDescent="0.2">
      <c r="A17" s="405" t="s">
        <v>215</v>
      </c>
      <c r="B17" s="398"/>
    </row>
    <row r="18" spans="1:2" s="6" customFormat="1" ht="25.15" customHeight="1" x14ac:dyDescent="0.2">
      <c r="A18" s="509" t="s">
        <v>3</v>
      </c>
      <c r="B18" s="501"/>
    </row>
    <row r="19" spans="1:2" s="6" customFormat="1" ht="25.15" customHeight="1" x14ac:dyDescent="0.2">
      <c r="A19" s="509" t="s">
        <v>4</v>
      </c>
      <c r="B19" s="501"/>
    </row>
    <row r="20" spans="1:2" s="6" customFormat="1" ht="25.15" customHeight="1" x14ac:dyDescent="0.2">
      <c r="A20" s="509" t="s">
        <v>5</v>
      </c>
      <c r="B20" s="501"/>
    </row>
    <row r="21" spans="1:2" s="6" customFormat="1" ht="25.15" customHeight="1" x14ac:dyDescent="0.2">
      <c r="A21" s="512" t="s">
        <v>6</v>
      </c>
      <c r="B21" s="513"/>
    </row>
    <row r="22" spans="1:2" s="6" customFormat="1" ht="25.15" customHeight="1" x14ac:dyDescent="0.2">
      <c r="A22" s="401"/>
      <c r="B22" s="401"/>
    </row>
    <row r="23" spans="1:2" s="5" customFormat="1" ht="25.15" customHeight="1" x14ac:dyDescent="0.2">
      <c r="A23" s="405" t="s">
        <v>213</v>
      </c>
      <c r="B23" s="398"/>
    </row>
    <row r="24" spans="1:2" s="6" customFormat="1" ht="25.15" customHeight="1" x14ac:dyDescent="0.2">
      <c r="A24" s="509" t="s">
        <v>7</v>
      </c>
      <c r="B24" s="501"/>
    </row>
    <row r="25" spans="1:2" s="6" customFormat="1" ht="25.15" customHeight="1" x14ac:dyDescent="0.2">
      <c r="A25" s="509" t="s">
        <v>8</v>
      </c>
      <c r="B25" s="508"/>
    </row>
    <row r="26" spans="1:2" s="6" customFormat="1" ht="25.15" customHeight="1" x14ac:dyDescent="0.2">
      <c r="A26" s="509" t="s">
        <v>9</v>
      </c>
      <c r="B26" s="508"/>
    </row>
    <row r="27" spans="1:2" s="6" customFormat="1" ht="25.15" customHeight="1" x14ac:dyDescent="0.2">
      <c r="A27" s="509" t="s">
        <v>10</v>
      </c>
      <c r="B27" s="508"/>
    </row>
    <row r="28" spans="1:2" s="6" customFormat="1" ht="25.15" customHeight="1" x14ac:dyDescent="0.2">
      <c r="A28" s="509" t="s">
        <v>4</v>
      </c>
      <c r="B28" s="508" t="s">
        <v>11</v>
      </c>
    </row>
    <row r="29" spans="1:2" s="6" customFormat="1" ht="25.15" customHeight="1" x14ac:dyDescent="0.2">
      <c r="A29" s="509" t="s">
        <v>6</v>
      </c>
      <c r="B29" s="508"/>
    </row>
    <row r="30" spans="1:2" s="6" customFormat="1" ht="25.15" customHeight="1" x14ac:dyDescent="0.2">
      <c r="A30" s="401"/>
      <c r="B30" s="401"/>
    </row>
    <row r="31" spans="1:2" s="6" customFormat="1" ht="25.15" customHeight="1" x14ac:dyDescent="0.2">
      <c r="A31" s="629" t="s">
        <v>214</v>
      </c>
      <c r="B31" s="629"/>
    </row>
    <row r="32" spans="1:2" s="6" customFormat="1" ht="25.15" customHeight="1" x14ac:dyDescent="0.2">
      <c r="A32" s="404" t="s">
        <v>24</v>
      </c>
      <c r="B32" s="404" t="s">
        <v>25</v>
      </c>
    </row>
    <row r="33" spans="1:2" s="6" customFormat="1" ht="25.15" customHeight="1" x14ac:dyDescent="0.2">
      <c r="A33" s="514"/>
      <c r="B33" s="513"/>
    </row>
    <row r="34" spans="1:2" s="6" customFormat="1" ht="25.15" customHeight="1" x14ac:dyDescent="0.2">
      <c r="A34" s="514"/>
      <c r="B34" s="513"/>
    </row>
    <row r="35" spans="1:2" s="6" customFormat="1" ht="25.15" customHeight="1" x14ac:dyDescent="0.2">
      <c r="A35" s="509"/>
      <c r="B35" s="513"/>
    </row>
    <row r="36" spans="1:2" s="6" customFormat="1" ht="25.15" customHeight="1" x14ac:dyDescent="0.2">
      <c r="A36" s="509"/>
      <c r="B36" s="513"/>
    </row>
    <row r="37" spans="1:2" s="6" customFormat="1" ht="18" customHeight="1" x14ac:dyDescent="0.2">
      <c r="A37" s="399"/>
      <c r="B37" s="400"/>
    </row>
    <row r="38" spans="1:2" s="15" customFormat="1" ht="18" customHeight="1" x14ac:dyDescent="0.2">
      <c r="A38" s="406" t="s">
        <v>12</v>
      </c>
      <c r="B38" s="402"/>
    </row>
    <row r="39" spans="1:2" s="1" customFormat="1" ht="5.25" customHeight="1" x14ac:dyDescent="0.2">
      <c r="A39" s="403"/>
      <c r="B39" s="403"/>
    </row>
    <row r="40" spans="1:2" s="1" customFormat="1" x14ac:dyDescent="0.2">
      <c r="A40" s="394" t="s">
        <v>32</v>
      </c>
      <c r="B40" s="395"/>
    </row>
    <row r="41" spans="1:2" s="1" customFormat="1" ht="42.75" customHeight="1" x14ac:dyDescent="0.2">
      <c r="A41" s="632" t="s">
        <v>63</v>
      </c>
      <c r="B41" s="633"/>
    </row>
    <row r="42" spans="1:2" s="1" customFormat="1" ht="24" customHeight="1" x14ac:dyDescent="0.2">
      <c r="A42" s="410" t="s">
        <v>33</v>
      </c>
      <c r="B42" s="411"/>
    </row>
    <row r="43" spans="1:2" s="1" customFormat="1" ht="78.75" customHeight="1" x14ac:dyDescent="0.2">
      <c r="A43" s="634" t="s">
        <v>37</v>
      </c>
      <c r="B43" s="635"/>
    </row>
    <row r="44" spans="1:2" s="1" customFormat="1" ht="33.75" customHeight="1" x14ac:dyDescent="0.2">
      <c r="A44" s="632" t="s">
        <v>35</v>
      </c>
      <c r="B44" s="633"/>
    </row>
    <row r="45" spans="1:2" s="1" customFormat="1" ht="38.25" customHeight="1" x14ac:dyDescent="0.2">
      <c r="A45" s="632" t="s">
        <v>36</v>
      </c>
      <c r="B45" s="633"/>
    </row>
    <row r="46" spans="1:2" s="1" customFormat="1" ht="53.25" customHeight="1" x14ac:dyDescent="0.2">
      <c r="A46" s="630" t="s">
        <v>64</v>
      </c>
      <c r="B46" s="631"/>
    </row>
    <row r="47" spans="1:2" s="1" customFormat="1" ht="19.5" customHeight="1" x14ac:dyDescent="0.2">
      <c r="A47" s="408"/>
      <c r="B47" s="409"/>
    </row>
    <row r="48" spans="1:2" s="6" customFormat="1" ht="25.15" customHeight="1" x14ac:dyDescent="0.2">
      <c r="A48" s="515" t="s">
        <v>13</v>
      </c>
      <c r="B48" s="502"/>
    </row>
    <row r="49" spans="1:2" s="6" customFormat="1" ht="25.15" customHeight="1" x14ac:dyDescent="0.2">
      <c r="A49" s="516" t="s">
        <v>14</v>
      </c>
      <c r="B49" s="517"/>
    </row>
    <row r="51" spans="1:2" ht="15" customHeight="1" x14ac:dyDescent="0.2">
      <c r="A51" s="7"/>
    </row>
  </sheetData>
  <mergeCells count="10">
    <mergeCell ref="A46:B46"/>
    <mergeCell ref="A41:B41"/>
    <mergeCell ref="A43:B43"/>
    <mergeCell ref="A44:B44"/>
    <mergeCell ref="A45:B45"/>
    <mergeCell ref="A3:B3"/>
    <mergeCell ref="A1:B1"/>
    <mergeCell ref="A2:B2"/>
    <mergeCell ref="A4:B4"/>
    <mergeCell ref="A31:B31"/>
  </mergeCells>
  <pageMargins left="0.25" right="0.25" top="0.5" bottom="0.5" header="0.5" footer="0.25"/>
  <pageSetup paperSize="5" scale="64" orientation="portrait" horizontalDpi="300" verticalDpi="300" r:id="rId1"/>
  <headerFooter alignWithMargins="0">
    <oddFooter>&amp;L&amp;A
Page &amp;P
&amp;D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36"/>
  <sheetViews>
    <sheetView zoomScaleNormal="100" workbookViewId="0">
      <selection activeCell="C9" sqref="C9"/>
    </sheetView>
  </sheetViews>
  <sheetFormatPr defaultColWidth="9.28515625" defaultRowHeight="12.75" x14ac:dyDescent="0.2"/>
  <cols>
    <col min="1" max="1" width="4.7109375" style="9" customWidth="1"/>
    <col min="2" max="2" width="13.42578125" style="18" bestFit="1" customWidth="1"/>
    <col min="3" max="3" width="14.28515625" style="9" customWidth="1"/>
    <col min="4" max="4" width="48.28515625" style="9" bestFit="1" customWidth="1"/>
    <col min="5" max="5" width="12" style="9" bestFit="1" customWidth="1"/>
    <col min="6" max="6" width="29.42578125" style="9" customWidth="1"/>
    <col min="7" max="7" width="12.7109375" style="9" customWidth="1"/>
    <col min="8" max="8" width="25.7109375" style="9" customWidth="1"/>
    <col min="9" max="10" width="9.28515625" style="9"/>
    <col min="11" max="11" width="81" style="9" bestFit="1" customWidth="1"/>
    <col min="12" max="16384" width="9.28515625" style="9"/>
  </cols>
  <sheetData>
    <row r="1" spans="1:11" ht="15.75" x14ac:dyDescent="0.25">
      <c r="A1" s="636" t="str">
        <f>+'General Information'!A2:D2</f>
        <v xml:space="preserve">FINANCIAL AND STATISTICAL REPORT </v>
      </c>
      <c r="B1" s="637"/>
      <c r="C1" s="637"/>
      <c r="D1" s="637"/>
      <c r="E1" s="637"/>
      <c r="F1" s="637"/>
    </row>
    <row r="2" spans="1:11" ht="15.75" x14ac:dyDescent="0.25">
      <c r="A2" s="636" t="str">
        <f>+'General Information'!A3:D3</f>
        <v>GENERAL INFORMATION</v>
      </c>
      <c r="B2" s="637"/>
      <c r="C2" s="637"/>
      <c r="D2" s="637"/>
      <c r="E2" s="637"/>
      <c r="F2" s="637"/>
    </row>
    <row r="3" spans="1:11" ht="15.75" x14ac:dyDescent="0.25">
      <c r="A3" s="614" t="s">
        <v>21</v>
      </c>
      <c r="B3" s="614"/>
      <c r="C3" s="19">
        <f>+'General Information'!B10</f>
        <v>0</v>
      </c>
      <c r="D3" s="74"/>
      <c r="E3" s="13"/>
      <c r="F3" s="87"/>
    </row>
    <row r="4" spans="1:11" ht="15.75" x14ac:dyDescent="0.25">
      <c r="A4" s="615" t="s">
        <v>22</v>
      </c>
      <c r="B4" s="10"/>
      <c r="C4" s="20">
        <f>+'General Information'!B6</f>
        <v>0</v>
      </c>
      <c r="E4" s="63"/>
      <c r="F4" s="88"/>
    </row>
    <row r="6" spans="1:11" x14ac:dyDescent="0.2">
      <c r="E6" s="495"/>
    </row>
    <row r="7" spans="1:11" x14ac:dyDescent="0.2">
      <c r="E7" s="72"/>
    </row>
    <row r="8" spans="1:11" ht="55.15" customHeight="1" x14ac:dyDescent="0.25">
      <c r="A8" s="67"/>
      <c r="B8" s="521" t="s">
        <v>42</v>
      </c>
      <c r="C8" s="522" t="s">
        <v>255</v>
      </c>
      <c r="D8" s="523" t="s">
        <v>74</v>
      </c>
      <c r="E8" s="71" t="s">
        <v>19</v>
      </c>
      <c r="F8" s="102" t="s">
        <v>133</v>
      </c>
      <c r="G8" s="102" t="s">
        <v>27</v>
      </c>
      <c r="H8" s="102" t="s">
        <v>27</v>
      </c>
      <c r="I8" s="104" t="s">
        <v>218</v>
      </c>
      <c r="J8" s="112"/>
    </row>
    <row r="9" spans="1:11" x14ac:dyDescent="0.2">
      <c r="A9" s="69"/>
      <c r="B9" s="92">
        <v>90832</v>
      </c>
      <c r="C9" s="412"/>
      <c r="D9" s="99" t="s">
        <v>127</v>
      </c>
      <c r="E9" s="101">
        <v>0.5</v>
      </c>
      <c r="F9" s="103" t="s">
        <v>134</v>
      </c>
      <c r="G9" s="70" t="s">
        <v>95</v>
      </c>
      <c r="H9" s="103" t="s">
        <v>265</v>
      </c>
      <c r="I9" s="105">
        <v>54.43</v>
      </c>
      <c r="J9" s="113"/>
      <c r="K9" s="9" t="str">
        <f t="shared" ref="K9:K29" si="0">CONCATENATE(B9,"-", D9,"/", G9,"-", H9)</f>
        <v>90832-Individual Therapy - 30 Minutes/AH-Psychologist (PhD)</v>
      </c>
    </row>
    <row r="10" spans="1:11" x14ac:dyDescent="0.2">
      <c r="A10" s="69"/>
      <c r="B10" s="92">
        <v>90832</v>
      </c>
      <c r="C10" s="412"/>
      <c r="D10" s="99" t="s">
        <v>127</v>
      </c>
      <c r="E10" s="101">
        <v>0.5</v>
      </c>
      <c r="F10" s="103" t="s">
        <v>134</v>
      </c>
      <c r="G10" s="70" t="s">
        <v>88</v>
      </c>
      <c r="H10" s="103" t="s">
        <v>76</v>
      </c>
      <c r="I10" s="105">
        <v>37.299999999999997</v>
      </c>
      <c r="J10" s="113"/>
      <c r="K10" s="9" t="str">
        <f t="shared" si="0"/>
        <v>90832-Individual Therapy - 30 Minutes/HO-Masters</v>
      </c>
    </row>
    <row r="11" spans="1:11" x14ac:dyDescent="0.2">
      <c r="A11" s="69"/>
      <c r="B11" s="92">
        <v>90834</v>
      </c>
      <c r="C11" s="412"/>
      <c r="D11" s="99" t="s">
        <v>128</v>
      </c>
      <c r="E11" s="101">
        <v>1</v>
      </c>
      <c r="F11" s="103" t="s">
        <v>134</v>
      </c>
      <c r="G11" s="70" t="s">
        <v>95</v>
      </c>
      <c r="H11" s="103" t="s">
        <v>265</v>
      </c>
      <c r="I11" s="105">
        <v>108.86</v>
      </c>
      <c r="J11" s="113"/>
      <c r="K11" s="9" t="str">
        <f t="shared" si="0"/>
        <v>90834-Individual Therapy - 45 Minutes/AH-Psychologist (PhD)</v>
      </c>
    </row>
    <row r="12" spans="1:11" x14ac:dyDescent="0.2">
      <c r="A12" s="16"/>
      <c r="B12" s="92">
        <v>90834</v>
      </c>
      <c r="C12" s="412"/>
      <c r="D12" s="99" t="s">
        <v>128</v>
      </c>
      <c r="E12" s="101">
        <v>1</v>
      </c>
      <c r="F12" s="103" t="s">
        <v>134</v>
      </c>
      <c r="G12" s="70" t="s">
        <v>88</v>
      </c>
      <c r="H12" s="103" t="s">
        <v>76</v>
      </c>
      <c r="I12" s="105">
        <v>74.599999999999994</v>
      </c>
      <c r="J12" s="113"/>
      <c r="K12" s="9" t="str">
        <f t="shared" si="0"/>
        <v>90834-Individual Therapy - 45 Minutes/HO-Masters</v>
      </c>
    </row>
    <row r="13" spans="1:11" x14ac:dyDescent="0.2">
      <c r="A13" s="16"/>
      <c r="B13" s="92">
        <v>90837</v>
      </c>
      <c r="C13" s="412"/>
      <c r="D13" s="99" t="s">
        <v>129</v>
      </c>
      <c r="E13" s="101">
        <v>1.5</v>
      </c>
      <c r="F13" s="103" t="s">
        <v>134</v>
      </c>
      <c r="G13" s="70" t="s">
        <v>95</v>
      </c>
      <c r="H13" s="103" t="s">
        <v>265</v>
      </c>
      <c r="I13" s="105">
        <v>163.29</v>
      </c>
      <c r="J13" s="113"/>
      <c r="K13" s="9" t="str">
        <f t="shared" si="0"/>
        <v>90837-Individual Therapy - 60 Minutes/AH-Psychologist (PhD)</v>
      </c>
    </row>
    <row r="14" spans="1:11" x14ac:dyDescent="0.2">
      <c r="A14" s="16"/>
      <c r="B14" s="92">
        <v>90837</v>
      </c>
      <c r="C14" s="412"/>
      <c r="D14" s="99" t="s">
        <v>129</v>
      </c>
      <c r="E14" s="101">
        <v>1.5</v>
      </c>
      <c r="F14" s="103" t="s">
        <v>134</v>
      </c>
      <c r="G14" s="70" t="s">
        <v>88</v>
      </c>
      <c r="H14" s="103" t="s">
        <v>76</v>
      </c>
      <c r="I14" s="105">
        <v>111.9</v>
      </c>
      <c r="J14" s="113"/>
      <c r="K14" s="9" t="str">
        <f t="shared" si="0"/>
        <v>90837-Individual Therapy - 60 Minutes/HO-Masters</v>
      </c>
    </row>
    <row r="15" spans="1:11" x14ac:dyDescent="0.2">
      <c r="A15" s="16"/>
      <c r="B15" s="92">
        <v>99366</v>
      </c>
      <c r="C15" s="412"/>
      <c r="D15" s="58" t="s">
        <v>108</v>
      </c>
      <c r="E15" s="101">
        <v>0.5</v>
      </c>
      <c r="F15" s="103" t="s">
        <v>135</v>
      </c>
      <c r="G15" s="70" t="s">
        <v>142</v>
      </c>
      <c r="H15" s="103" t="s">
        <v>143</v>
      </c>
      <c r="I15" s="105">
        <v>39.54</v>
      </c>
      <c r="J15" s="113"/>
      <c r="K15" s="9" t="str">
        <f t="shared" si="0"/>
        <v>99366-Service Plan Development - Interdisciplinary with Client/OO-No Modifier Required 2/1/13</v>
      </c>
    </row>
    <row r="16" spans="1:11" x14ac:dyDescent="0.2">
      <c r="A16" s="16"/>
      <c r="B16" s="92">
        <v>99367</v>
      </c>
      <c r="C16" s="412"/>
      <c r="D16" s="58" t="s">
        <v>109</v>
      </c>
      <c r="E16" s="101">
        <v>0.5</v>
      </c>
      <c r="F16" s="103" t="s">
        <v>135</v>
      </c>
      <c r="G16" s="70" t="s">
        <v>142</v>
      </c>
      <c r="H16" s="103" t="s">
        <v>143</v>
      </c>
      <c r="I16" s="105">
        <v>39.54</v>
      </c>
      <c r="J16" s="113"/>
      <c r="K16" s="9" t="str">
        <f t="shared" si="0"/>
        <v>99367-Service Plan Development - Interdisciplinary w/o Client/OO-No Modifier Required 2/1/13</v>
      </c>
    </row>
    <row r="17" spans="1:11" x14ac:dyDescent="0.2">
      <c r="A17" s="16"/>
      <c r="B17" s="98">
        <v>90846</v>
      </c>
      <c r="C17" s="412"/>
      <c r="D17" s="58" t="s">
        <v>111</v>
      </c>
      <c r="E17" s="101">
        <v>1.5</v>
      </c>
      <c r="F17" s="103" t="s">
        <v>135</v>
      </c>
      <c r="G17" s="68" t="s">
        <v>95</v>
      </c>
      <c r="H17" s="103" t="s">
        <v>265</v>
      </c>
      <c r="I17" s="105">
        <v>156.18</v>
      </c>
      <c r="J17" s="113"/>
      <c r="K17" s="9" t="str">
        <f t="shared" si="0"/>
        <v>90846-Family Therapy w/o patient present/AH-Psychologist (PhD)</v>
      </c>
    </row>
    <row r="18" spans="1:11" x14ac:dyDescent="0.2">
      <c r="A18" s="16"/>
      <c r="B18" s="98">
        <v>90846</v>
      </c>
      <c r="C18" s="412"/>
      <c r="D18" s="58" t="s">
        <v>111</v>
      </c>
      <c r="E18" s="101">
        <v>1.5</v>
      </c>
      <c r="F18" s="103" t="s">
        <v>135</v>
      </c>
      <c r="G18" s="68" t="s">
        <v>88</v>
      </c>
      <c r="H18" s="103" t="s">
        <v>76</v>
      </c>
      <c r="I18" s="105">
        <v>107.04</v>
      </c>
      <c r="J18" s="113"/>
      <c r="K18" s="9" t="str">
        <f t="shared" si="0"/>
        <v>90846-Family Therapy w/o patient present/HO-Masters</v>
      </c>
    </row>
    <row r="19" spans="1:11" x14ac:dyDescent="0.2">
      <c r="A19" s="16"/>
      <c r="B19" s="93">
        <v>90847</v>
      </c>
      <c r="C19" s="412"/>
      <c r="D19" s="58" t="s">
        <v>112</v>
      </c>
      <c r="E19" s="101">
        <v>1.5</v>
      </c>
      <c r="F19" s="103" t="s">
        <v>135</v>
      </c>
      <c r="G19" s="68" t="s">
        <v>95</v>
      </c>
      <c r="H19" s="103" t="s">
        <v>265</v>
      </c>
      <c r="I19" s="105">
        <v>156.18</v>
      </c>
      <c r="J19" s="113"/>
      <c r="K19" s="9" t="str">
        <f t="shared" si="0"/>
        <v>90847-Family Therapy with patient present/AH-Psychologist (PhD)</v>
      </c>
    </row>
    <row r="20" spans="1:11" x14ac:dyDescent="0.2">
      <c r="A20" s="16"/>
      <c r="B20" s="93">
        <v>90847</v>
      </c>
      <c r="C20" s="412"/>
      <c r="D20" s="58" t="s">
        <v>112</v>
      </c>
      <c r="E20" s="101">
        <v>1.5</v>
      </c>
      <c r="F20" s="103" t="s">
        <v>135</v>
      </c>
      <c r="G20" s="68" t="s">
        <v>88</v>
      </c>
      <c r="H20" s="103" t="s">
        <v>76</v>
      </c>
      <c r="I20" s="105">
        <v>107.04</v>
      </c>
      <c r="J20" s="113"/>
      <c r="K20" s="9" t="str">
        <f t="shared" si="0"/>
        <v>90847-Family Therapy with patient present/HO-Masters</v>
      </c>
    </row>
    <row r="21" spans="1:11" x14ac:dyDescent="0.2">
      <c r="A21" s="16"/>
      <c r="B21" s="93">
        <v>90849</v>
      </c>
      <c r="C21" s="412"/>
      <c r="D21" s="58" t="s">
        <v>130</v>
      </c>
      <c r="E21" s="101">
        <v>1</v>
      </c>
      <c r="F21" s="103" t="s">
        <v>136</v>
      </c>
      <c r="G21" s="68" t="s">
        <v>95</v>
      </c>
      <c r="H21" s="103" t="s">
        <v>265</v>
      </c>
      <c r="I21" s="105">
        <v>24.3</v>
      </c>
      <c r="J21" s="113"/>
      <c r="K21" s="9" t="str">
        <f t="shared" si="0"/>
        <v>90849-Multiple family Group Psychotherapy/AH-Psychologist (PhD)</v>
      </c>
    </row>
    <row r="22" spans="1:11" x14ac:dyDescent="0.2">
      <c r="A22" s="16"/>
      <c r="B22" s="93">
        <v>90849</v>
      </c>
      <c r="C22" s="412"/>
      <c r="D22" s="58" t="s">
        <v>130</v>
      </c>
      <c r="E22" s="101">
        <v>1</v>
      </c>
      <c r="F22" s="103" t="s">
        <v>136</v>
      </c>
      <c r="G22" s="68" t="s">
        <v>88</v>
      </c>
      <c r="H22" s="103" t="s">
        <v>76</v>
      </c>
      <c r="I22" s="105">
        <v>16.649999999999999</v>
      </c>
      <c r="J22" s="113"/>
      <c r="K22" s="9" t="str">
        <f t="shared" si="0"/>
        <v>90849-Multiple family Group Psychotherapy/HO-Masters</v>
      </c>
    </row>
    <row r="23" spans="1:11" x14ac:dyDescent="0.2">
      <c r="A23" s="16"/>
      <c r="B23" s="93">
        <v>90853</v>
      </c>
      <c r="C23" s="412"/>
      <c r="D23" s="99" t="s">
        <v>72</v>
      </c>
      <c r="E23" s="101">
        <v>1.5</v>
      </c>
      <c r="F23" s="103" t="s">
        <v>135</v>
      </c>
      <c r="G23" s="93" t="s">
        <v>95</v>
      </c>
      <c r="H23" s="103" t="s">
        <v>265</v>
      </c>
      <c r="I23" s="105">
        <v>24.3</v>
      </c>
      <c r="J23" s="113"/>
      <c r="K23" s="9" t="str">
        <f t="shared" si="0"/>
        <v>90853-Group Therapy/AH-Psychologist (PhD)</v>
      </c>
    </row>
    <row r="24" spans="1:11" x14ac:dyDescent="0.2">
      <c r="A24" s="16"/>
      <c r="B24" s="93">
        <v>90853</v>
      </c>
      <c r="C24" s="412"/>
      <c r="D24" s="99" t="s">
        <v>72</v>
      </c>
      <c r="E24" s="101">
        <v>1.5</v>
      </c>
      <c r="F24" s="103" t="s">
        <v>135</v>
      </c>
      <c r="G24" s="93" t="s">
        <v>88</v>
      </c>
      <c r="H24" s="103" t="s">
        <v>76</v>
      </c>
      <c r="I24" s="105">
        <v>16.649999999999999</v>
      </c>
      <c r="J24" s="113"/>
      <c r="K24" s="9" t="str">
        <f t="shared" si="0"/>
        <v>90853-Group Therapy/HO-Masters</v>
      </c>
    </row>
    <row r="25" spans="1:11" x14ac:dyDescent="0.2">
      <c r="A25" s="16"/>
      <c r="B25" s="68" t="s">
        <v>107</v>
      </c>
      <c r="C25" s="412"/>
      <c r="D25" s="58" t="s">
        <v>70</v>
      </c>
      <c r="E25" s="101">
        <v>0.25</v>
      </c>
      <c r="F25" s="103"/>
      <c r="G25" s="68" t="s">
        <v>91</v>
      </c>
      <c r="H25" s="103" t="s">
        <v>20</v>
      </c>
      <c r="I25" s="105">
        <v>37.130000000000003</v>
      </c>
      <c r="J25" s="113"/>
      <c r="K25" s="9" t="str">
        <f t="shared" si="0"/>
        <v>H0002-Behavioral Health Screening/AF-Psychiatrist</v>
      </c>
    </row>
    <row r="26" spans="1:11" x14ac:dyDescent="0.2">
      <c r="A26" s="16"/>
      <c r="B26" s="68" t="s">
        <v>107</v>
      </c>
      <c r="C26" s="412"/>
      <c r="D26" s="58" t="s">
        <v>70</v>
      </c>
      <c r="E26" s="101">
        <v>0.25</v>
      </c>
      <c r="F26" s="103"/>
      <c r="G26" s="68" t="s">
        <v>92</v>
      </c>
      <c r="H26" s="103" t="s">
        <v>28</v>
      </c>
      <c r="I26" s="105">
        <v>36.090000000000003</v>
      </c>
      <c r="J26" s="113"/>
      <c r="K26" s="9" t="str">
        <f t="shared" si="0"/>
        <v>H0002-Behavioral Health Screening/HP-Physician</v>
      </c>
    </row>
    <row r="27" spans="1:11" x14ac:dyDescent="0.2">
      <c r="A27" s="16"/>
      <c r="B27" s="68" t="s">
        <v>107</v>
      </c>
      <c r="C27" s="412"/>
      <c r="D27" s="58" t="s">
        <v>70</v>
      </c>
      <c r="E27" s="101">
        <v>0.25</v>
      </c>
      <c r="F27" s="103"/>
      <c r="G27" s="68" t="s">
        <v>93</v>
      </c>
      <c r="H27" s="103" t="s">
        <v>29</v>
      </c>
      <c r="I27" s="105">
        <v>18.489999999999998</v>
      </c>
      <c r="J27" s="113"/>
      <c r="K27" s="9" t="str">
        <f t="shared" si="0"/>
        <v>H0002-Behavioral Health Screening/AM-Physician Assistant</v>
      </c>
    </row>
    <row r="28" spans="1:11" x14ac:dyDescent="0.2">
      <c r="A28" s="16"/>
      <c r="B28" s="68" t="s">
        <v>107</v>
      </c>
      <c r="C28" s="412"/>
      <c r="D28" s="58" t="s">
        <v>70</v>
      </c>
      <c r="E28" s="101">
        <v>0.25</v>
      </c>
      <c r="F28" s="103"/>
      <c r="G28" s="68" t="s">
        <v>94</v>
      </c>
      <c r="H28" s="103" t="s">
        <v>87</v>
      </c>
      <c r="I28" s="105">
        <v>17.29</v>
      </c>
      <c r="J28" s="113"/>
      <c r="K28" s="9" t="str">
        <f t="shared" si="0"/>
        <v>H0002-Behavioral Health Screening/SA-APRN</v>
      </c>
    </row>
    <row r="29" spans="1:11" x14ac:dyDescent="0.2">
      <c r="A29" s="16"/>
      <c r="B29" s="68" t="s">
        <v>107</v>
      </c>
      <c r="C29" s="412"/>
      <c r="D29" s="58" t="s">
        <v>70</v>
      </c>
      <c r="E29" s="101">
        <v>0.25</v>
      </c>
      <c r="F29" s="103"/>
      <c r="G29" s="68" t="s">
        <v>95</v>
      </c>
      <c r="H29" s="103" t="s">
        <v>265</v>
      </c>
      <c r="I29" s="105">
        <v>18.72</v>
      </c>
      <c r="J29" s="113"/>
      <c r="K29" s="9" t="str">
        <f t="shared" si="0"/>
        <v>H0002-Behavioral Health Screening/AH-Psychologist (PhD)</v>
      </c>
    </row>
    <row r="30" spans="1:11" x14ac:dyDescent="0.2">
      <c r="A30" s="16"/>
      <c r="B30" s="68" t="s">
        <v>107</v>
      </c>
      <c r="C30" s="412"/>
      <c r="D30" s="58" t="s">
        <v>70</v>
      </c>
      <c r="E30" s="101">
        <v>0.25</v>
      </c>
      <c r="F30" s="103"/>
      <c r="G30" s="68" t="s">
        <v>88</v>
      </c>
      <c r="H30" s="103" t="s">
        <v>76</v>
      </c>
      <c r="I30" s="105">
        <v>12.82</v>
      </c>
      <c r="J30" s="113"/>
      <c r="K30" s="9" t="str">
        <f t="shared" ref="K30:K61" si="1">CONCATENATE(B30,"-", D30,"/", G30,"-", H30)</f>
        <v>H0002-Behavioral Health Screening/HO-Masters</v>
      </c>
    </row>
    <row r="31" spans="1:11" ht="13.5" thickBot="1" x14ac:dyDescent="0.25">
      <c r="A31" s="16"/>
      <c r="B31" s="68" t="s">
        <v>107</v>
      </c>
      <c r="C31" s="412"/>
      <c r="D31" s="58" t="s">
        <v>70</v>
      </c>
      <c r="E31" s="101">
        <v>0.25</v>
      </c>
      <c r="F31" s="103"/>
      <c r="G31" s="68" t="s">
        <v>89</v>
      </c>
      <c r="H31" s="103" t="s">
        <v>78</v>
      </c>
      <c r="I31" s="105">
        <v>11.23</v>
      </c>
      <c r="J31" s="113"/>
      <c r="K31" s="9" t="str">
        <f t="shared" si="1"/>
        <v>H0002-Behavioral Health Screening/HN-Bachelors</v>
      </c>
    </row>
    <row r="32" spans="1:11" ht="13.5" thickBot="1" x14ac:dyDescent="0.25">
      <c r="A32" s="16"/>
      <c r="B32" s="68" t="s">
        <v>124</v>
      </c>
      <c r="C32" s="412"/>
      <c r="D32" s="58" t="s">
        <v>118</v>
      </c>
      <c r="E32" s="101">
        <v>0.5</v>
      </c>
      <c r="F32" s="103" t="s">
        <v>137</v>
      </c>
      <c r="G32" s="68" t="s">
        <v>95</v>
      </c>
      <c r="H32" s="103" t="s">
        <v>265</v>
      </c>
      <c r="I32" s="106">
        <v>112.32</v>
      </c>
      <c r="J32" s="114"/>
      <c r="K32" s="9" t="str">
        <f t="shared" si="1"/>
        <v>H0031 -Diagnostic Assessment- Follow Up/AH-Psychologist (PhD)</v>
      </c>
    </row>
    <row r="33" spans="1:11" ht="13.5" thickBot="1" x14ac:dyDescent="0.25">
      <c r="A33" s="16"/>
      <c r="B33" s="68" t="s">
        <v>124</v>
      </c>
      <c r="C33" s="412"/>
      <c r="D33" s="58" t="s">
        <v>118</v>
      </c>
      <c r="E33" s="101">
        <v>0.5</v>
      </c>
      <c r="F33" s="103" t="s">
        <v>137</v>
      </c>
      <c r="G33" s="68" t="s">
        <v>88</v>
      </c>
      <c r="H33" s="103" t="s">
        <v>76</v>
      </c>
      <c r="I33" s="107">
        <v>76.97</v>
      </c>
      <c r="J33" s="114"/>
      <c r="K33" s="9" t="str">
        <f t="shared" si="1"/>
        <v>H0031 -Diagnostic Assessment- Follow Up/HO-Masters</v>
      </c>
    </row>
    <row r="34" spans="1:11" x14ac:dyDescent="0.2">
      <c r="A34" s="16"/>
      <c r="B34" s="68" t="s">
        <v>73</v>
      </c>
      <c r="C34" s="412"/>
      <c r="D34" s="58" t="s">
        <v>110</v>
      </c>
      <c r="E34" s="101">
        <v>0.25</v>
      </c>
      <c r="F34" s="103"/>
      <c r="G34" s="68" t="s">
        <v>95</v>
      </c>
      <c r="H34" s="103" t="s">
        <v>265</v>
      </c>
      <c r="I34" s="105">
        <v>11.73</v>
      </c>
      <c r="J34" s="113"/>
      <c r="K34" s="9" t="str">
        <f t="shared" si="1"/>
        <v>H0032-Service Plan Development /AH-Psychologist (PhD)</v>
      </c>
    </row>
    <row r="35" spans="1:11" x14ac:dyDescent="0.2">
      <c r="A35" s="16"/>
      <c r="B35" s="68" t="s">
        <v>73</v>
      </c>
      <c r="C35" s="412"/>
      <c r="D35" s="58" t="s">
        <v>110</v>
      </c>
      <c r="E35" s="101">
        <v>0.25</v>
      </c>
      <c r="F35" s="103"/>
      <c r="G35" s="68" t="s">
        <v>88</v>
      </c>
      <c r="H35" s="103" t="s">
        <v>76</v>
      </c>
      <c r="I35" s="105">
        <v>8.0399999999999991</v>
      </c>
      <c r="J35" s="113"/>
      <c r="K35" s="9" t="str">
        <f t="shared" si="1"/>
        <v>H0032-Service Plan Development /HO-Masters</v>
      </c>
    </row>
    <row r="36" spans="1:11" x14ac:dyDescent="0.2">
      <c r="A36" s="16"/>
      <c r="B36" s="68" t="s">
        <v>73</v>
      </c>
      <c r="C36" s="412"/>
      <c r="D36" s="58" t="s">
        <v>110</v>
      </c>
      <c r="E36" s="101">
        <v>0.25</v>
      </c>
      <c r="F36" s="103"/>
      <c r="G36" s="68" t="s">
        <v>89</v>
      </c>
      <c r="H36" s="103" t="s">
        <v>78</v>
      </c>
      <c r="I36" s="105">
        <v>7.04</v>
      </c>
      <c r="J36" s="113"/>
      <c r="K36" s="9" t="str">
        <f t="shared" si="1"/>
        <v>H0032-Service Plan Development /HN-Bachelors</v>
      </c>
    </row>
    <row r="37" spans="1:11" x14ac:dyDescent="0.2">
      <c r="A37" s="16"/>
      <c r="B37" s="70" t="s">
        <v>113</v>
      </c>
      <c r="C37" s="412"/>
      <c r="D37" s="58" t="s">
        <v>114</v>
      </c>
      <c r="E37" s="101">
        <v>0.25</v>
      </c>
      <c r="F37" s="103"/>
      <c r="G37" s="70" t="s">
        <v>91</v>
      </c>
      <c r="H37" s="103" t="s">
        <v>138</v>
      </c>
      <c r="I37" s="105">
        <v>24.29</v>
      </c>
      <c r="J37" s="113"/>
      <c r="K37" s="9" t="str">
        <f t="shared" si="1"/>
        <v>H0034-Medication Management/AF-Psychiatrist/ Physician</v>
      </c>
    </row>
    <row r="38" spans="1:11" x14ac:dyDescent="0.2">
      <c r="A38" s="16"/>
      <c r="B38" s="70" t="s">
        <v>113</v>
      </c>
      <c r="C38" s="412"/>
      <c r="D38" s="58" t="s">
        <v>114</v>
      </c>
      <c r="E38" s="101">
        <v>0.25</v>
      </c>
      <c r="F38" s="103"/>
      <c r="G38" s="70" t="s">
        <v>92</v>
      </c>
      <c r="H38" s="103" t="s">
        <v>139</v>
      </c>
      <c r="I38" s="105">
        <v>23.61</v>
      </c>
      <c r="J38" s="113"/>
      <c r="K38" s="9" t="str">
        <f t="shared" si="1"/>
        <v>H0034-Medication Management/HP-Doctoral Level</v>
      </c>
    </row>
    <row r="39" spans="1:11" x14ac:dyDescent="0.2">
      <c r="A39" s="16"/>
      <c r="B39" s="70" t="s">
        <v>113</v>
      </c>
      <c r="C39" s="412"/>
      <c r="D39" s="58" t="s">
        <v>114</v>
      </c>
      <c r="E39" s="101">
        <v>0.25</v>
      </c>
      <c r="F39" s="103"/>
      <c r="G39" s="70" t="s">
        <v>93</v>
      </c>
      <c r="H39" s="103" t="s">
        <v>29</v>
      </c>
      <c r="I39" s="105">
        <v>12.09</v>
      </c>
      <c r="J39" s="113"/>
      <c r="K39" s="9" t="str">
        <f t="shared" si="1"/>
        <v>H0034-Medication Management/AM-Physician Assistant</v>
      </c>
    </row>
    <row r="40" spans="1:11" x14ac:dyDescent="0.2">
      <c r="A40" s="16"/>
      <c r="B40" s="70" t="s">
        <v>113</v>
      </c>
      <c r="C40" s="412"/>
      <c r="D40" s="58" t="s">
        <v>114</v>
      </c>
      <c r="E40" s="101">
        <v>0.25</v>
      </c>
      <c r="F40" s="103"/>
      <c r="G40" s="70" t="s">
        <v>94</v>
      </c>
      <c r="H40" s="103" t="s">
        <v>87</v>
      </c>
      <c r="I40" s="105">
        <v>11.3</v>
      </c>
      <c r="J40" s="113"/>
      <c r="K40" s="9" t="str">
        <f t="shared" si="1"/>
        <v>H0034-Medication Management/SA-APRN</v>
      </c>
    </row>
    <row r="41" spans="1:11" x14ac:dyDescent="0.2">
      <c r="A41" s="16"/>
      <c r="B41" s="70" t="s">
        <v>113</v>
      </c>
      <c r="C41" s="412"/>
      <c r="D41" s="58" t="s">
        <v>114</v>
      </c>
      <c r="E41" s="101">
        <v>0.25</v>
      </c>
      <c r="F41" s="103"/>
      <c r="G41" s="70" t="s">
        <v>96</v>
      </c>
      <c r="H41" s="103" t="s">
        <v>82</v>
      </c>
      <c r="I41" s="105">
        <v>10.199999999999999</v>
      </c>
      <c r="J41" s="113"/>
      <c r="K41" s="9" t="str">
        <f t="shared" si="1"/>
        <v>H0034-Medication Management/TD-RN</v>
      </c>
    </row>
    <row r="42" spans="1:11" x14ac:dyDescent="0.2">
      <c r="A42" s="16"/>
      <c r="B42" s="70" t="s">
        <v>113</v>
      </c>
      <c r="C42" s="412"/>
      <c r="D42" s="58" t="s">
        <v>114</v>
      </c>
      <c r="E42" s="101">
        <v>0.25</v>
      </c>
      <c r="F42" s="103"/>
      <c r="G42" s="70" t="s">
        <v>97</v>
      </c>
      <c r="H42" s="103" t="s">
        <v>86</v>
      </c>
      <c r="I42" s="105">
        <v>6.68</v>
      </c>
      <c r="J42" s="113"/>
      <c r="K42" s="9" t="str">
        <f t="shared" si="1"/>
        <v>H0034-Medication Management/TE-LPN</v>
      </c>
    </row>
    <row r="43" spans="1:11" x14ac:dyDescent="0.2">
      <c r="A43" s="16"/>
      <c r="B43" s="68" t="s">
        <v>84</v>
      </c>
      <c r="C43" s="412"/>
      <c r="D43" s="58" t="s">
        <v>83</v>
      </c>
      <c r="E43" s="101">
        <v>0.25</v>
      </c>
      <c r="F43" s="103"/>
      <c r="G43" s="68"/>
      <c r="H43" s="103"/>
      <c r="I43" s="105">
        <v>5.98</v>
      </c>
      <c r="J43" s="113"/>
      <c r="K43" s="9" t="str">
        <f t="shared" si="1"/>
        <v>H0038-Peer Support/-</v>
      </c>
    </row>
    <row r="44" spans="1:11" x14ac:dyDescent="0.2">
      <c r="A44" s="16"/>
      <c r="B44" s="68" t="s">
        <v>126</v>
      </c>
      <c r="C44" s="412"/>
      <c r="D44" s="58" t="s">
        <v>119</v>
      </c>
      <c r="E44" s="101">
        <v>1</v>
      </c>
      <c r="F44" s="103" t="s">
        <v>137</v>
      </c>
      <c r="G44" s="68" t="s">
        <v>95</v>
      </c>
      <c r="H44" s="103" t="s">
        <v>265</v>
      </c>
      <c r="I44" s="105">
        <v>224.63</v>
      </c>
      <c r="J44" s="113"/>
      <c r="K44" s="9" t="str">
        <f t="shared" si="1"/>
        <v>H2000 -Diagnostic Assessment- Initial/AH-Psychologist (PhD)</v>
      </c>
    </row>
    <row r="45" spans="1:11" x14ac:dyDescent="0.2">
      <c r="A45" s="16"/>
      <c r="B45" s="68" t="s">
        <v>126</v>
      </c>
      <c r="C45" s="412"/>
      <c r="D45" s="58" t="s">
        <v>119</v>
      </c>
      <c r="E45" s="101">
        <v>1</v>
      </c>
      <c r="F45" s="103" t="s">
        <v>137</v>
      </c>
      <c r="G45" s="68" t="s">
        <v>88</v>
      </c>
      <c r="H45" s="103" t="s">
        <v>76</v>
      </c>
      <c r="I45" s="105">
        <v>153.94</v>
      </c>
      <c r="J45" s="113"/>
      <c r="K45" s="9" t="str">
        <f t="shared" si="1"/>
        <v>H2000 -Diagnostic Assessment- Initial/HO-Masters</v>
      </c>
    </row>
    <row r="46" spans="1:11" x14ac:dyDescent="0.2">
      <c r="A46" s="16"/>
      <c r="B46" s="68" t="s">
        <v>71</v>
      </c>
      <c r="C46" s="412"/>
      <c r="D46" s="58" t="s">
        <v>115</v>
      </c>
      <c r="E46" s="101">
        <v>0.25</v>
      </c>
      <c r="F46" s="103"/>
      <c r="G46" s="68" t="s">
        <v>91</v>
      </c>
      <c r="H46" s="103" t="s">
        <v>140</v>
      </c>
      <c r="I46" s="105">
        <v>56.12</v>
      </c>
      <c r="J46" s="113"/>
      <c r="K46" s="9" t="str">
        <f t="shared" si="1"/>
        <v>H2011-Crisis Management/AF-Psychiatrist / Physician</v>
      </c>
    </row>
    <row r="47" spans="1:11" x14ac:dyDescent="0.2">
      <c r="A47" s="16"/>
      <c r="B47" s="68" t="s">
        <v>71</v>
      </c>
      <c r="C47" s="412"/>
      <c r="D47" s="58" t="s">
        <v>115</v>
      </c>
      <c r="E47" s="101">
        <v>0.25</v>
      </c>
      <c r="F47" s="103"/>
      <c r="G47" s="68" t="s">
        <v>92</v>
      </c>
      <c r="H47" s="103" t="s">
        <v>139</v>
      </c>
      <c r="I47" s="105">
        <v>54.55</v>
      </c>
      <c r="J47" s="113"/>
      <c r="K47" s="9" t="str">
        <f t="shared" si="1"/>
        <v>H2011-Crisis Management/HP-Doctoral Level</v>
      </c>
    </row>
    <row r="48" spans="1:11" x14ac:dyDescent="0.2">
      <c r="A48" s="16"/>
      <c r="B48" s="68" t="s">
        <v>71</v>
      </c>
      <c r="C48" s="412"/>
      <c r="D48" s="58" t="s">
        <v>115</v>
      </c>
      <c r="E48" s="101">
        <v>0.25</v>
      </c>
      <c r="F48" s="103"/>
      <c r="G48" s="68" t="s">
        <v>93</v>
      </c>
      <c r="H48" s="103" t="s">
        <v>29</v>
      </c>
      <c r="I48" s="105">
        <v>27.94</v>
      </c>
      <c r="J48" s="113"/>
      <c r="K48" s="9" t="str">
        <f t="shared" si="1"/>
        <v>H2011-Crisis Management/AM-Physician Assistant</v>
      </c>
    </row>
    <row r="49" spans="1:11" x14ac:dyDescent="0.2">
      <c r="A49" s="16"/>
      <c r="B49" s="68" t="s">
        <v>71</v>
      </c>
      <c r="C49" s="412"/>
      <c r="D49" s="58" t="s">
        <v>115</v>
      </c>
      <c r="E49" s="101">
        <v>0.25</v>
      </c>
      <c r="F49" s="103"/>
      <c r="G49" s="68" t="s">
        <v>94</v>
      </c>
      <c r="H49" s="103" t="s">
        <v>87</v>
      </c>
      <c r="I49" s="105">
        <v>26.12</v>
      </c>
      <c r="J49" s="113"/>
      <c r="K49" s="9" t="str">
        <f t="shared" si="1"/>
        <v>H2011-Crisis Management/SA-APRN</v>
      </c>
    </row>
    <row r="50" spans="1:11" x14ac:dyDescent="0.2">
      <c r="A50" s="16"/>
      <c r="B50" s="68" t="s">
        <v>71</v>
      </c>
      <c r="C50" s="412"/>
      <c r="D50" s="58" t="s">
        <v>115</v>
      </c>
      <c r="E50" s="101">
        <v>0.25</v>
      </c>
      <c r="F50" s="103"/>
      <c r="G50" s="68" t="s">
        <v>95</v>
      </c>
      <c r="H50" s="103" t="s">
        <v>265</v>
      </c>
      <c r="I50" s="105">
        <v>28.29</v>
      </c>
      <c r="J50" s="113"/>
      <c r="K50" s="9" t="str">
        <f t="shared" si="1"/>
        <v>H2011-Crisis Management/AH-Psychologist (PhD)</v>
      </c>
    </row>
    <row r="51" spans="1:11" x14ac:dyDescent="0.2">
      <c r="A51" s="16"/>
      <c r="B51" s="68" t="s">
        <v>71</v>
      </c>
      <c r="C51" s="412"/>
      <c r="D51" s="58" t="s">
        <v>115</v>
      </c>
      <c r="E51" s="101">
        <v>0.25</v>
      </c>
      <c r="F51" s="103"/>
      <c r="G51" s="68" t="s">
        <v>88</v>
      </c>
      <c r="H51" s="103" t="s">
        <v>76</v>
      </c>
      <c r="I51" s="105">
        <v>19.39</v>
      </c>
      <c r="J51" s="113"/>
      <c r="K51" s="9" t="str">
        <f t="shared" si="1"/>
        <v>H2011-Crisis Management/HO-Masters</v>
      </c>
    </row>
    <row r="52" spans="1:11" x14ac:dyDescent="0.2">
      <c r="A52" s="16"/>
      <c r="B52" s="68" t="s">
        <v>71</v>
      </c>
      <c r="C52" s="412"/>
      <c r="D52" s="58" t="s">
        <v>115</v>
      </c>
      <c r="E52" s="101">
        <v>0.25</v>
      </c>
      <c r="F52" s="103"/>
      <c r="G52" s="68" t="s">
        <v>96</v>
      </c>
      <c r="H52" s="103" t="s">
        <v>82</v>
      </c>
      <c r="I52" s="105">
        <v>23.59</v>
      </c>
      <c r="J52" s="113"/>
      <c r="K52" s="9" t="str">
        <f t="shared" si="1"/>
        <v>H2011-Crisis Management/TD-RN</v>
      </c>
    </row>
    <row r="53" spans="1:11" x14ac:dyDescent="0.2">
      <c r="A53" s="16"/>
      <c r="B53" s="68" t="s">
        <v>71</v>
      </c>
      <c r="C53" s="412"/>
      <c r="D53" s="58" t="s">
        <v>115</v>
      </c>
      <c r="E53" s="101">
        <v>0.25</v>
      </c>
      <c r="F53" s="103"/>
      <c r="G53" s="68" t="s">
        <v>89</v>
      </c>
      <c r="H53" s="103" t="s">
        <v>78</v>
      </c>
      <c r="I53" s="105">
        <v>16.97</v>
      </c>
      <c r="J53" s="113"/>
      <c r="K53" s="9" t="str">
        <f t="shared" si="1"/>
        <v>H2011-Crisis Management/HN-Bachelors</v>
      </c>
    </row>
    <row r="54" spans="1:11" x14ac:dyDescent="0.2">
      <c r="A54" s="16"/>
      <c r="B54" s="92" t="s">
        <v>77</v>
      </c>
      <c r="C54" s="412"/>
      <c r="D54" s="99" t="s">
        <v>75</v>
      </c>
      <c r="E54" s="101">
        <v>0.25</v>
      </c>
      <c r="F54" s="103"/>
      <c r="G54" s="92" t="s">
        <v>91</v>
      </c>
      <c r="H54" s="103" t="s">
        <v>138</v>
      </c>
      <c r="I54" s="105">
        <v>25.82</v>
      </c>
      <c r="J54" s="113"/>
      <c r="K54" s="9" t="str">
        <f t="shared" si="1"/>
        <v>H2014-Behavior Modification/AF-Psychiatrist/ Physician</v>
      </c>
    </row>
    <row r="55" spans="1:11" x14ac:dyDescent="0.2">
      <c r="A55" s="16"/>
      <c r="B55" s="92" t="s">
        <v>77</v>
      </c>
      <c r="C55" s="412"/>
      <c r="D55" s="99" t="s">
        <v>75</v>
      </c>
      <c r="E55" s="101">
        <v>0.25</v>
      </c>
      <c r="F55" s="103"/>
      <c r="G55" s="92" t="s">
        <v>92</v>
      </c>
      <c r="H55" s="103" t="s">
        <v>141</v>
      </c>
      <c r="I55" s="105">
        <v>25.1</v>
      </c>
      <c r="J55" s="113"/>
      <c r="K55" s="9" t="str">
        <f t="shared" si="1"/>
        <v>H2014-Behavior Modification/HP-Doctoral level</v>
      </c>
    </row>
    <row r="56" spans="1:11" x14ac:dyDescent="0.2">
      <c r="A56" s="16"/>
      <c r="B56" s="92" t="s">
        <v>77</v>
      </c>
      <c r="C56" s="412"/>
      <c r="D56" s="99" t="s">
        <v>75</v>
      </c>
      <c r="E56" s="101">
        <v>0.25</v>
      </c>
      <c r="F56" s="103"/>
      <c r="G56" s="92" t="s">
        <v>93</v>
      </c>
      <c r="H56" s="103" t="s">
        <v>29</v>
      </c>
      <c r="I56" s="105">
        <v>12.85</v>
      </c>
      <c r="J56" s="113"/>
      <c r="K56" s="9" t="str">
        <f t="shared" si="1"/>
        <v>H2014-Behavior Modification/AM-Physician Assistant</v>
      </c>
    </row>
    <row r="57" spans="1:11" x14ac:dyDescent="0.2">
      <c r="A57" s="16"/>
      <c r="B57" s="92" t="s">
        <v>77</v>
      </c>
      <c r="C57" s="412"/>
      <c r="D57" s="99" t="s">
        <v>75</v>
      </c>
      <c r="E57" s="101">
        <v>0.25</v>
      </c>
      <c r="F57" s="103"/>
      <c r="G57" s="92" t="s">
        <v>94</v>
      </c>
      <c r="H57" s="103" t="s">
        <v>87</v>
      </c>
      <c r="I57" s="105">
        <v>12.02</v>
      </c>
      <c r="J57" s="113"/>
      <c r="K57" s="9" t="str">
        <f t="shared" si="1"/>
        <v>H2014-Behavior Modification/SA-APRN</v>
      </c>
    </row>
    <row r="58" spans="1:11" x14ac:dyDescent="0.2">
      <c r="A58" s="16"/>
      <c r="B58" s="92" t="s">
        <v>77</v>
      </c>
      <c r="C58" s="412"/>
      <c r="D58" s="99" t="s">
        <v>75</v>
      </c>
      <c r="E58" s="101">
        <v>0.25</v>
      </c>
      <c r="F58" s="103"/>
      <c r="G58" s="92" t="s">
        <v>95</v>
      </c>
      <c r="H58" s="103" t="s">
        <v>265</v>
      </c>
      <c r="I58" s="105">
        <v>13.02</v>
      </c>
      <c r="J58" s="113"/>
      <c r="K58" s="9" t="str">
        <f t="shared" si="1"/>
        <v>H2014-Behavior Modification/AH-Psychologist (PhD)</v>
      </c>
    </row>
    <row r="59" spans="1:11" x14ac:dyDescent="0.2">
      <c r="A59" s="16"/>
      <c r="B59" s="92" t="s">
        <v>77</v>
      </c>
      <c r="C59" s="412"/>
      <c r="D59" s="99" t="s">
        <v>75</v>
      </c>
      <c r="E59" s="101">
        <v>0.25</v>
      </c>
      <c r="F59" s="103"/>
      <c r="G59" s="92" t="s">
        <v>88</v>
      </c>
      <c r="H59" s="103" t="s">
        <v>76</v>
      </c>
      <c r="I59" s="105">
        <v>8.92</v>
      </c>
      <c r="J59" s="113"/>
      <c r="K59" s="9" t="str">
        <f t="shared" si="1"/>
        <v>H2014-Behavior Modification/HO-Masters</v>
      </c>
    </row>
    <row r="60" spans="1:11" x14ac:dyDescent="0.2">
      <c r="A60" s="16"/>
      <c r="B60" s="92" t="s">
        <v>77</v>
      </c>
      <c r="C60" s="412"/>
      <c r="D60" s="99" t="s">
        <v>75</v>
      </c>
      <c r="E60" s="101">
        <v>0.25</v>
      </c>
      <c r="F60" s="103"/>
      <c r="G60" s="92" t="s">
        <v>96</v>
      </c>
      <c r="H60" s="103" t="s">
        <v>82</v>
      </c>
      <c r="I60" s="105">
        <v>10.85</v>
      </c>
      <c r="J60" s="113"/>
      <c r="K60" s="9" t="str">
        <f t="shared" si="1"/>
        <v>H2014-Behavior Modification/TD-RN</v>
      </c>
    </row>
    <row r="61" spans="1:11" x14ac:dyDescent="0.2">
      <c r="A61" s="16"/>
      <c r="B61" s="92" t="s">
        <v>77</v>
      </c>
      <c r="C61" s="412"/>
      <c r="D61" s="99" t="s">
        <v>75</v>
      </c>
      <c r="E61" s="101">
        <v>0.25</v>
      </c>
      <c r="F61" s="103"/>
      <c r="G61" s="92" t="s">
        <v>89</v>
      </c>
      <c r="H61" s="103" t="s">
        <v>78</v>
      </c>
      <c r="I61" s="105">
        <v>7.81</v>
      </c>
      <c r="J61" s="113"/>
      <c r="K61" s="9" t="str">
        <f t="shared" si="1"/>
        <v>H2014-Behavior Modification/HN-Bachelors</v>
      </c>
    </row>
    <row r="62" spans="1:11" x14ac:dyDescent="0.2">
      <c r="A62" s="16"/>
      <c r="B62" s="92" t="s">
        <v>77</v>
      </c>
      <c r="C62" s="412"/>
      <c r="D62" s="99" t="s">
        <v>75</v>
      </c>
      <c r="E62" s="101">
        <v>0.25</v>
      </c>
      <c r="F62" s="103"/>
      <c r="G62" s="115" t="s">
        <v>90</v>
      </c>
      <c r="H62" s="103" t="s">
        <v>79</v>
      </c>
      <c r="I62" s="105">
        <v>5.98</v>
      </c>
      <c r="J62" s="113"/>
      <c r="K62" s="9" t="str">
        <f t="shared" ref="K62:K94" si="2">CONCATENATE(B62,"-", D62,"/", G62,"-", H62)</f>
        <v>H2014-Behavior Modification/HM-High School</v>
      </c>
    </row>
    <row r="63" spans="1:11" x14ac:dyDescent="0.2">
      <c r="A63" s="16"/>
      <c r="B63" s="92" t="s">
        <v>77</v>
      </c>
      <c r="C63" s="412"/>
      <c r="D63" s="99" t="s">
        <v>75</v>
      </c>
      <c r="E63" s="101">
        <v>0.25</v>
      </c>
      <c r="F63" s="103"/>
      <c r="G63" s="92" t="s">
        <v>97</v>
      </c>
      <c r="H63" s="103" t="s">
        <v>86</v>
      </c>
      <c r="I63" s="105">
        <v>7.11</v>
      </c>
      <c r="J63" s="113"/>
      <c r="K63" s="9" t="str">
        <f t="shared" si="2"/>
        <v>H2014-Behavior Modification/TE-LPN</v>
      </c>
    </row>
    <row r="64" spans="1:11" x14ac:dyDescent="0.2">
      <c r="A64" s="16"/>
      <c r="B64" s="92" t="s">
        <v>85</v>
      </c>
      <c r="C64" s="412"/>
      <c r="D64" s="99" t="s">
        <v>116</v>
      </c>
      <c r="E64" s="101">
        <v>0.25</v>
      </c>
      <c r="F64" s="103" t="s">
        <v>194</v>
      </c>
      <c r="G64" s="92" t="s">
        <v>92</v>
      </c>
      <c r="H64" s="103" t="s">
        <v>139</v>
      </c>
      <c r="I64" s="105">
        <v>25.1</v>
      </c>
      <c r="J64" s="113"/>
      <c r="K64" s="9" t="str">
        <f t="shared" si="2"/>
        <v>H2017-Rehabilitation Psychosocial Services/HP-Doctoral Level</v>
      </c>
    </row>
    <row r="65" spans="1:11" x14ac:dyDescent="0.2">
      <c r="A65" s="16"/>
      <c r="B65" s="92" t="s">
        <v>85</v>
      </c>
      <c r="C65" s="412"/>
      <c r="D65" s="99" t="s">
        <v>116</v>
      </c>
      <c r="E65" s="101">
        <v>0.25</v>
      </c>
      <c r="F65" s="103" t="s">
        <v>194</v>
      </c>
      <c r="G65" s="92" t="s">
        <v>93</v>
      </c>
      <c r="H65" s="103" t="s">
        <v>29</v>
      </c>
      <c r="I65" s="105">
        <v>12.85</v>
      </c>
      <c r="J65" s="113"/>
      <c r="K65" s="9" t="str">
        <f t="shared" si="2"/>
        <v>H2017-Rehabilitation Psychosocial Services/AM-Physician Assistant</v>
      </c>
    </row>
    <row r="66" spans="1:11" x14ac:dyDescent="0.2">
      <c r="A66" s="16"/>
      <c r="B66" s="92" t="s">
        <v>85</v>
      </c>
      <c r="C66" s="412"/>
      <c r="D66" s="99" t="s">
        <v>116</v>
      </c>
      <c r="E66" s="101">
        <v>0.25</v>
      </c>
      <c r="F66" s="103" t="s">
        <v>194</v>
      </c>
      <c r="G66" s="92" t="s">
        <v>94</v>
      </c>
      <c r="H66" s="103" t="s">
        <v>87</v>
      </c>
      <c r="I66" s="105">
        <v>12.02</v>
      </c>
      <c r="J66" s="113"/>
      <c r="K66" s="9" t="str">
        <f t="shared" si="2"/>
        <v>H2017-Rehabilitation Psychosocial Services/SA-APRN</v>
      </c>
    </row>
    <row r="67" spans="1:11" x14ac:dyDescent="0.2">
      <c r="A67" s="16"/>
      <c r="B67" s="92" t="s">
        <v>85</v>
      </c>
      <c r="C67" s="412"/>
      <c r="D67" s="99" t="s">
        <v>116</v>
      </c>
      <c r="E67" s="101">
        <v>0.25</v>
      </c>
      <c r="F67" s="103" t="s">
        <v>194</v>
      </c>
      <c r="G67" s="92" t="s">
        <v>95</v>
      </c>
      <c r="H67" s="103" t="s">
        <v>265</v>
      </c>
      <c r="I67" s="105">
        <v>13.02</v>
      </c>
      <c r="J67" s="113"/>
      <c r="K67" s="9" t="str">
        <f t="shared" si="2"/>
        <v>H2017-Rehabilitation Psychosocial Services/AH-Psychologist (PhD)</v>
      </c>
    </row>
    <row r="68" spans="1:11" x14ac:dyDescent="0.2">
      <c r="A68" s="16"/>
      <c r="B68" s="92" t="s">
        <v>85</v>
      </c>
      <c r="C68" s="412"/>
      <c r="D68" s="99" t="s">
        <v>116</v>
      </c>
      <c r="E68" s="101">
        <v>0.25</v>
      </c>
      <c r="F68" s="103" t="s">
        <v>194</v>
      </c>
      <c r="G68" s="92" t="s">
        <v>88</v>
      </c>
      <c r="H68" s="103" t="s">
        <v>76</v>
      </c>
      <c r="I68" s="105">
        <v>8.92</v>
      </c>
      <c r="J68" s="113"/>
      <c r="K68" s="9" t="str">
        <f t="shared" si="2"/>
        <v>H2017-Rehabilitation Psychosocial Services/HO-Masters</v>
      </c>
    </row>
    <row r="69" spans="1:11" x14ac:dyDescent="0.2">
      <c r="A69" s="16"/>
      <c r="B69" s="92" t="s">
        <v>85</v>
      </c>
      <c r="C69" s="412"/>
      <c r="D69" s="99" t="s">
        <v>116</v>
      </c>
      <c r="E69" s="101">
        <v>0.25</v>
      </c>
      <c r="F69" s="103" t="s">
        <v>194</v>
      </c>
      <c r="G69" s="92" t="s">
        <v>96</v>
      </c>
      <c r="H69" s="103" t="s">
        <v>82</v>
      </c>
      <c r="I69" s="105">
        <v>10.85</v>
      </c>
      <c r="J69" s="113"/>
      <c r="K69" s="9" t="str">
        <f t="shared" si="2"/>
        <v>H2017-Rehabilitation Psychosocial Services/TD-RN</v>
      </c>
    </row>
    <row r="70" spans="1:11" x14ac:dyDescent="0.2">
      <c r="A70" s="16"/>
      <c r="B70" s="92" t="s">
        <v>85</v>
      </c>
      <c r="C70" s="412"/>
      <c r="D70" s="99" t="s">
        <v>116</v>
      </c>
      <c r="E70" s="101">
        <v>0.25</v>
      </c>
      <c r="F70" s="103" t="s">
        <v>194</v>
      </c>
      <c r="G70" s="92" t="s">
        <v>89</v>
      </c>
      <c r="H70" s="103" t="s">
        <v>78</v>
      </c>
      <c r="I70" s="105">
        <v>7.81</v>
      </c>
      <c r="J70" s="113"/>
      <c r="K70" s="9" t="str">
        <f t="shared" si="2"/>
        <v>H2017-Rehabilitation Psychosocial Services/HN-Bachelors</v>
      </c>
    </row>
    <row r="71" spans="1:11" x14ac:dyDescent="0.2">
      <c r="A71" s="16"/>
      <c r="B71" s="92" t="s">
        <v>85</v>
      </c>
      <c r="C71" s="412"/>
      <c r="D71" s="99" t="s">
        <v>116</v>
      </c>
      <c r="E71" s="101">
        <v>0.25</v>
      </c>
      <c r="F71" s="103" t="s">
        <v>194</v>
      </c>
      <c r="G71" s="92" t="s">
        <v>97</v>
      </c>
      <c r="H71" s="103" t="s">
        <v>86</v>
      </c>
      <c r="I71" s="105">
        <v>7.11</v>
      </c>
      <c r="J71" s="113"/>
      <c r="K71" s="9" t="str">
        <f t="shared" si="2"/>
        <v>H2017-Rehabilitation Psychosocial Services/TE-LPN</v>
      </c>
    </row>
    <row r="72" spans="1:11" x14ac:dyDescent="0.2">
      <c r="A72" s="16"/>
      <c r="B72" s="92" t="s">
        <v>85</v>
      </c>
      <c r="C72" s="412"/>
      <c r="D72" s="99" t="s">
        <v>116</v>
      </c>
      <c r="E72" s="101">
        <v>0.25</v>
      </c>
      <c r="F72" s="103" t="s">
        <v>192</v>
      </c>
      <c r="G72" s="92" t="s">
        <v>182</v>
      </c>
      <c r="H72" s="103" t="s">
        <v>265</v>
      </c>
      <c r="I72" s="105">
        <v>13.02</v>
      </c>
      <c r="J72" s="113"/>
      <c r="K72" s="9" t="str">
        <f t="shared" si="2"/>
        <v>H2017-Rehabilitation Psychosocial Services/U1-Psychologist (PhD)</v>
      </c>
    </row>
    <row r="73" spans="1:11" x14ac:dyDescent="0.2">
      <c r="A73" s="16"/>
      <c r="B73" s="92" t="s">
        <v>85</v>
      </c>
      <c r="C73" s="412"/>
      <c r="D73" s="99" t="s">
        <v>116</v>
      </c>
      <c r="E73" s="101">
        <v>0.25</v>
      </c>
      <c r="F73" s="103" t="s">
        <v>192</v>
      </c>
      <c r="G73" s="92" t="s">
        <v>183</v>
      </c>
      <c r="H73" s="103" t="s">
        <v>76</v>
      </c>
      <c r="I73" s="105">
        <v>9.93</v>
      </c>
      <c r="J73" s="113"/>
      <c r="K73" s="9" t="str">
        <f t="shared" si="2"/>
        <v>H2017-Rehabilitation Psychosocial Services/U2-Masters</v>
      </c>
    </row>
    <row r="74" spans="1:11" x14ac:dyDescent="0.2">
      <c r="A74" s="16"/>
      <c r="B74" s="92" t="s">
        <v>85</v>
      </c>
      <c r="C74" s="412"/>
      <c r="D74" s="99" t="s">
        <v>116</v>
      </c>
      <c r="E74" s="101">
        <v>0.25</v>
      </c>
      <c r="F74" s="103" t="s">
        <v>192</v>
      </c>
      <c r="G74" s="92" t="s">
        <v>186</v>
      </c>
      <c r="H74" s="103" t="s">
        <v>82</v>
      </c>
      <c r="I74" s="105">
        <v>10.85</v>
      </c>
      <c r="J74" s="113"/>
      <c r="K74" s="9" t="str">
        <f t="shared" si="2"/>
        <v>H2017-Rehabilitation Psychosocial Services/U4-RN</v>
      </c>
    </row>
    <row r="75" spans="1:11" x14ac:dyDescent="0.2">
      <c r="A75" s="16"/>
      <c r="B75" s="92" t="s">
        <v>85</v>
      </c>
      <c r="C75" s="412"/>
      <c r="D75" s="99" t="s">
        <v>116</v>
      </c>
      <c r="E75" s="101">
        <v>0.25</v>
      </c>
      <c r="F75" s="103" t="s">
        <v>192</v>
      </c>
      <c r="G75" s="92" t="s">
        <v>184</v>
      </c>
      <c r="H75" s="103" t="s">
        <v>78</v>
      </c>
      <c r="I75" s="105">
        <v>9</v>
      </c>
      <c r="J75" s="113"/>
      <c r="K75" s="9" t="str">
        <f t="shared" si="2"/>
        <v>H2017-Rehabilitation Psychosocial Services/U3-Bachelors</v>
      </c>
    </row>
    <row r="76" spans="1:11" x14ac:dyDescent="0.2">
      <c r="A76" s="16"/>
      <c r="B76" s="92" t="s">
        <v>85</v>
      </c>
      <c r="C76" s="412"/>
      <c r="D76" s="99" t="s">
        <v>116</v>
      </c>
      <c r="E76" s="101">
        <v>0.25</v>
      </c>
      <c r="F76" s="103" t="s">
        <v>193</v>
      </c>
      <c r="G76" s="92" t="s">
        <v>187</v>
      </c>
      <c r="H76" s="103" t="s">
        <v>265</v>
      </c>
      <c r="I76" s="105">
        <v>6.52</v>
      </c>
      <c r="J76" s="113"/>
      <c r="K76" s="9" t="str">
        <f t="shared" si="2"/>
        <v>H2017-Rehabilitation Psychosocial Services/U6-Psychologist (PhD)</v>
      </c>
    </row>
    <row r="77" spans="1:11" x14ac:dyDescent="0.2">
      <c r="A77" s="16"/>
      <c r="B77" s="92" t="s">
        <v>85</v>
      </c>
      <c r="C77" s="412"/>
      <c r="D77" s="99" t="s">
        <v>116</v>
      </c>
      <c r="E77" s="101">
        <v>0.25</v>
      </c>
      <c r="F77" s="103" t="s">
        <v>193</v>
      </c>
      <c r="G77" s="92" t="s">
        <v>188</v>
      </c>
      <c r="H77" s="103" t="s">
        <v>76</v>
      </c>
      <c r="I77" s="105">
        <v>4.96</v>
      </c>
      <c r="J77" s="113"/>
      <c r="K77" s="9" t="str">
        <f t="shared" si="2"/>
        <v>H2017-Rehabilitation Psychosocial Services/U7-Masters</v>
      </c>
    </row>
    <row r="78" spans="1:11" x14ac:dyDescent="0.2">
      <c r="A78" s="16"/>
      <c r="B78" s="92" t="s">
        <v>85</v>
      </c>
      <c r="C78" s="412"/>
      <c r="D78" s="99" t="s">
        <v>116</v>
      </c>
      <c r="E78" s="101">
        <v>0.25</v>
      </c>
      <c r="F78" s="103" t="s">
        <v>193</v>
      </c>
      <c r="G78" s="92" t="s">
        <v>189</v>
      </c>
      <c r="H78" s="103" t="s">
        <v>82</v>
      </c>
      <c r="I78" s="105">
        <v>5.42</v>
      </c>
      <c r="J78" s="113"/>
      <c r="K78" s="9" t="str">
        <f t="shared" si="2"/>
        <v>H2017-Rehabilitation Psychosocial Services/U9-RN</v>
      </c>
    </row>
    <row r="79" spans="1:11" x14ac:dyDescent="0.2">
      <c r="A79" s="16"/>
      <c r="B79" s="92" t="s">
        <v>85</v>
      </c>
      <c r="C79" s="412"/>
      <c r="D79" s="99" t="s">
        <v>116</v>
      </c>
      <c r="E79" s="101">
        <v>0.25</v>
      </c>
      <c r="F79" s="103" t="s">
        <v>193</v>
      </c>
      <c r="G79" s="92" t="s">
        <v>190</v>
      </c>
      <c r="H79" s="103" t="s">
        <v>78</v>
      </c>
      <c r="I79" s="105">
        <v>4.5</v>
      </c>
      <c r="J79" s="113"/>
      <c r="K79" s="9" t="str">
        <f t="shared" si="2"/>
        <v>H2017-Rehabilitation Psychosocial Services/U8-Bachelors</v>
      </c>
    </row>
    <row r="80" spans="1:11" x14ac:dyDescent="0.2">
      <c r="A80" s="16"/>
      <c r="B80" s="92" t="s">
        <v>81</v>
      </c>
      <c r="C80" s="412"/>
      <c r="D80" s="99" t="s">
        <v>80</v>
      </c>
      <c r="E80" s="101">
        <v>0.25</v>
      </c>
      <c r="F80" s="103"/>
      <c r="G80" s="92" t="s">
        <v>91</v>
      </c>
      <c r="H80" s="103" t="s">
        <v>140</v>
      </c>
      <c r="I80" s="105">
        <v>25.82</v>
      </c>
      <c r="J80" s="113"/>
      <c r="K80" s="9" t="str">
        <f t="shared" si="2"/>
        <v>S9482-Family Support/AF-Psychiatrist / Physician</v>
      </c>
    </row>
    <row r="81" spans="1:11" x14ac:dyDescent="0.2">
      <c r="A81" s="16"/>
      <c r="B81" s="92" t="s">
        <v>81</v>
      </c>
      <c r="C81" s="412"/>
      <c r="D81" s="99" t="s">
        <v>80</v>
      </c>
      <c r="E81" s="101">
        <v>0.25</v>
      </c>
      <c r="F81" s="103"/>
      <c r="G81" s="92" t="s">
        <v>92</v>
      </c>
      <c r="H81" s="103" t="s">
        <v>139</v>
      </c>
      <c r="I81" s="105">
        <v>25.1</v>
      </c>
      <c r="J81" s="113"/>
      <c r="K81" s="9" t="str">
        <f t="shared" si="2"/>
        <v>S9482-Family Support/HP-Doctoral Level</v>
      </c>
    </row>
    <row r="82" spans="1:11" x14ac:dyDescent="0.2">
      <c r="A82" s="16"/>
      <c r="B82" s="92" t="s">
        <v>81</v>
      </c>
      <c r="C82" s="412"/>
      <c r="D82" s="99" t="s">
        <v>80</v>
      </c>
      <c r="E82" s="101">
        <v>0.25</v>
      </c>
      <c r="F82" s="103"/>
      <c r="G82" s="92" t="s">
        <v>93</v>
      </c>
      <c r="H82" s="103" t="s">
        <v>29</v>
      </c>
      <c r="I82" s="105">
        <v>12.85</v>
      </c>
      <c r="J82" s="113"/>
      <c r="K82" s="9" t="str">
        <f t="shared" si="2"/>
        <v>S9482-Family Support/AM-Physician Assistant</v>
      </c>
    </row>
    <row r="83" spans="1:11" x14ac:dyDescent="0.2">
      <c r="A83" s="16"/>
      <c r="B83" s="92" t="s">
        <v>81</v>
      </c>
      <c r="C83" s="412"/>
      <c r="D83" s="99" t="s">
        <v>80</v>
      </c>
      <c r="E83" s="101">
        <v>0.25</v>
      </c>
      <c r="F83" s="103"/>
      <c r="G83" s="92" t="s">
        <v>94</v>
      </c>
      <c r="H83" s="103" t="s">
        <v>87</v>
      </c>
      <c r="I83" s="105">
        <v>12.02</v>
      </c>
      <c r="J83" s="113"/>
      <c r="K83" s="9" t="str">
        <f t="shared" si="2"/>
        <v>S9482-Family Support/SA-APRN</v>
      </c>
    </row>
    <row r="84" spans="1:11" x14ac:dyDescent="0.2">
      <c r="A84" s="16"/>
      <c r="B84" s="92" t="s">
        <v>81</v>
      </c>
      <c r="C84" s="412"/>
      <c r="D84" s="99" t="s">
        <v>80</v>
      </c>
      <c r="E84" s="101">
        <v>0.25</v>
      </c>
      <c r="F84" s="103"/>
      <c r="G84" s="92" t="s">
        <v>95</v>
      </c>
      <c r="H84" s="103" t="s">
        <v>265</v>
      </c>
      <c r="I84" s="105">
        <v>13.02</v>
      </c>
      <c r="J84" s="113"/>
      <c r="K84" s="9" t="str">
        <f t="shared" si="2"/>
        <v>S9482-Family Support/AH-Psychologist (PhD)</v>
      </c>
    </row>
    <row r="85" spans="1:11" x14ac:dyDescent="0.2">
      <c r="A85" s="16"/>
      <c r="B85" s="92" t="s">
        <v>81</v>
      </c>
      <c r="C85" s="412"/>
      <c r="D85" s="99" t="s">
        <v>80</v>
      </c>
      <c r="E85" s="101">
        <v>0.25</v>
      </c>
      <c r="F85" s="103"/>
      <c r="G85" s="92" t="s">
        <v>88</v>
      </c>
      <c r="H85" s="103" t="s">
        <v>76</v>
      </c>
      <c r="I85" s="105">
        <v>8.92</v>
      </c>
      <c r="J85" s="113"/>
      <c r="K85" s="9" t="str">
        <f t="shared" si="2"/>
        <v>S9482-Family Support/HO-Masters</v>
      </c>
    </row>
    <row r="86" spans="1:11" x14ac:dyDescent="0.2">
      <c r="A86" s="16"/>
      <c r="B86" s="92" t="s">
        <v>81</v>
      </c>
      <c r="C86" s="412"/>
      <c r="D86" s="99" t="s">
        <v>80</v>
      </c>
      <c r="E86" s="101">
        <v>0.25</v>
      </c>
      <c r="F86" s="103"/>
      <c r="G86" s="92" t="s">
        <v>96</v>
      </c>
      <c r="H86" s="103" t="s">
        <v>82</v>
      </c>
      <c r="I86" s="105">
        <v>10.85</v>
      </c>
      <c r="J86" s="113"/>
      <c r="K86" s="9" t="str">
        <f t="shared" si="2"/>
        <v>S9482-Family Support/TD-RN</v>
      </c>
    </row>
    <row r="87" spans="1:11" x14ac:dyDescent="0.2">
      <c r="A87" s="16"/>
      <c r="B87" s="92" t="s">
        <v>81</v>
      </c>
      <c r="C87" s="412"/>
      <c r="D87" s="99" t="s">
        <v>80</v>
      </c>
      <c r="E87" s="101">
        <v>0.25</v>
      </c>
      <c r="F87" s="103"/>
      <c r="G87" s="92" t="s">
        <v>89</v>
      </c>
      <c r="H87" s="103" t="s">
        <v>78</v>
      </c>
      <c r="I87" s="105">
        <v>7.81</v>
      </c>
      <c r="J87" s="113"/>
      <c r="K87" s="9" t="str">
        <f t="shared" si="2"/>
        <v>S9482-Family Support/HN-Bachelors</v>
      </c>
    </row>
    <row r="88" spans="1:11" x14ac:dyDescent="0.2">
      <c r="A88" s="16"/>
      <c r="B88" s="92" t="s">
        <v>81</v>
      </c>
      <c r="C88" s="412"/>
      <c r="D88" s="99" t="s">
        <v>80</v>
      </c>
      <c r="E88" s="101">
        <v>0.25</v>
      </c>
      <c r="F88" s="103"/>
      <c r="G88" s="92" t="s">
        <v>90</v>
      </c>
      <c r="H88" s="103" t="s">
        <v>79</v>
      </c>
      <c r="I88" s="105">
        <v>5.98</v>
      </c>
      <c r="J88" s="113"/>
      <c r="K88" s="9" t="str">
        <f t="shared" si="2"/>
        <v>S9482-Family Support/HM-High School</v>
      </c>
    </row>
    <row r="89" spans="1:11" x14ac:dyDescent="0.2">
      <c r="A89" s="16"/>
      <c r="B89" s="92" t="s">
        <v>81</v>
      </c>
      <c r="C89" s="412"/>
      <c r="D89" s="99" t="s">
        <v>80</v>
      </c>
      <c r="E89" s="101">
        <v>0.25</v>
      </c>
      <c r="F89" s="103"/>
      <c r="G89" s="92" t="s">
        <v>97</v>
      </c>
      <c r="H89" s="103" t="s">
        <v>86</v>
      </c>
      <c r="I89" s="105">
        <v>7.11</v>
      </c>
      <c r="J89" s="113"/>
      <c r="K89" s="9" t="str">
        <f t="shared" si="2"/>
        <v>S9482-Family Support/TE-LPN</v>
      </c>
    </row>
    <row r="90" spans="1:11" ht="25.5" x14ac:dyDescent="0.2">
      <c r="A90" s="16"/>
      <c r="B90" s="59">
        <v>90791</v>
      </c>
      <c r="C90" s="412"/>
      <c r="D90" s="100" t="s">
        <v>131</v>
      </c>
      <c r="E90" s="101">
        <v>1</v>
      </c>
      <c r="F90" s="103" t="s">
        <v>137</v>
      </c>
      <c r="G90" s="59" t="s">
        <v>95</v>
      </c>
      <c r="H90" s="103" t="s">
        <v>265</v>
      </c>
      <c r="I90" s="105">
        <v>81</v>
      </c>
      <c r="J90" s="113"/>
      <c r="K90" s="9" t="str">
        <f t="shared" si="2"/>
        <v>90791-Psychiatric Diagnostic Evaluation without Medical Services/AH-Psychologist (PhD)</v>
      </c>
    </row>
    <row r="91" spans="1:11" ht="25.5" x14ac:dyDescent="0.2">
      <c r="A91" s="16"/>
      <c r="B91" s="59">
        <v>90791</v>
      </c>
      <c r="C91" s="412"/>
      <c r="D91" s="100" t="s">
        <v>131</v>
      </c>
      <c r="E91" s="101">
        <v>1</v>
      </c>
      <c r="F91" s="103" t="s">
        <v>137</v>
      </c>
      <c r="G91" s="59" t="s">
        <v>88</v>
      </c>
      <c r="H91" s="103" t="s">
        <v>76</v>
      </c>
      <c r="I91" s="105">
        <v>81</v>
      </c>
      <c r="J91" s="113"/>
      <c r="K91" s="9" t="str">
        <f t="shared" si="2"/>
        <v>90791-Psychiatric Diagnostic Evaluation without Medical Services/HO-Masters</v>
      </c>
    </row>
    <row r="92" spans="1:11" x14ac:dyDescent="0.2">
      <c r="A92" s="16"/>
      <c r="B92" s="59">
        <v>90792</v>
      </c>
      <c r="C92" s="412"/>
      <c r="D92" s="100" t="s">
        <v>132</v>
      </c>
      <c r="E92" s="101">
        <v>1.5</v>
      </c>
      <c r="F92" s="103" t="s">
        <v>137</v>
      </c>
      <c r="G92" s="59" t="s">
        <v>91</v>
      </c>
      <c r="H92" s="103" t="s">
        <v>140</v>
      </c>
      <c r="I92" s="105">
        <v>445.6</v>
      </c>
      <c r="J92" s="113"/>
      <c r="K92" s="9" t="str">
        <f t="shared" si="2"/>
        <v>90792-Psychiatric Diagnostic Evaluation with Medical Services/AF-Psychiatrist / Physician</v>
      </c>
    </row>
    <row r="93" spans="1:11" x14ac:dyDescent="0.2">
      <c r="A93" s="69"/>
      <c r="B93" s="59">
        <v>90792</v>
      </c>
      <c r="C93" s="412"/>
      <c r="D93" s="100" t="s">
        <v>132</v>
      </c>
      <c r="E93" s="101">
        <v>1.5</v>
      </c>
      <c r="F93" s="103" t="s">
        <v>137</v>
      </c>
      <c r="G93" s="59" t="s">
        <v>93</v>
      </c>
      <c r="H93" s="103" t="s">
        <v>29</v>
      </c>
      <c r="I93" s="105">
        <v>221.82</v>
      </c>
      <c r="J93" s="113"/>
      <c r="K93" s="9" t="str">
        <f t="shared" si="2"/>
        <v>90792-Psychiatric Diagnostic Evaluation with Medical Services/AM-Physician Assistant</v>
      </c>
    </row>
    <row r="94" spans="1:11" x14ac:dyDescent="0.2">
      <c r="A94" s="69"/>
      <c r="B94" s="59">
        <v>90792</v>
      </c>
      <c r="C94" s="412"/>
      <c r="D94" s="100" t="s">
        <v>132</v>
      </c>
      <c r="E94" s="101">
        <v>1.5</v>
      </c>
      <c r="F94" s="103" t="s">
        <v>137</v>
      </c>
      <c r="G94" s="59" t="s">
        <v>94</v>
      </c>
      <c r="H94" s="103" t="s">
        <v>87</v>
      </c>
      <c r="I94" s="105">
        <v>201.74</v>
      </c>
      <c r="J94" s="113"/>
      <c r="K94" s="9" t="str">
        <f t="shared" si="2"/>
        <v>90792-Psychiatric Diagnostic Evaluation with Medical Services/SA-APRN</v>
      </c>
    </row>
    <row r="95" spans="1:11" x14ac:dyDescent="0.2">
      <c r="A95" s="25"/>
      <c r="B95" s="26"/>
      <c r="C95" s="413"/>
      <c r="D95" s="25"/>
      <c r="E95" s="86"/>
    </row>
    <row r="96" spans="1:11" x14ac:dyDescent="0.2">
      <c r="A96" s="71"/>
      <c r="B96" s="68"/>
      <c r="C96" s="414"/>
      <c r="D96" s="71" t="s">
        <v>101</v>
      </c>
      <c r="E96" s="86"/>
      <c r="F96" s="16"/>
      <c r="G96" s="16"/>
      <c r="H96" s="16"/>
      <c r="I96" s="16"/>
    </row>
    <row r="97" spans="1:11" x14ac:dyDescent="0.2">
      <c r="A97" s="69"/>
      <c r="B97" s="70">
        <v>96101</v>
      </c>
      <c r="C97" s="412"/>
      <c r="D97" s="69" t="s">
        <v>117</v>
      </c>
      <c r="E97" s="86">
        <v>1</v>
      </c>
      <c r="F97" s="16"/>
      <c r="G97" s="92" t="s">
        <v>95</v>
      </c>
      <c r="H97" s="103" t="s">
        <v>265</v>
      </c>
      <c r="I97" s="16"/>
      <c r="K97" s="9" t="str">
        <f t="shared" ref="K97:K103" si="3">CONCATENATE(B97,"-", D97,"/", G97,"-", H97)</f>
        <v>96101-Psychological Testing/AH-Psychologist (PhD)</v>
      </c>
    </row>
    <row r="98" spans="1:11" x14ac:dyDescent="0.2">
      <c r="A98" s="69"/>
      <c r="B98" s="70">
        <v>96101</v>
      </c>
      <c r="C98" s="412"/>
      <c r="D98" s="69" t="s">
        <v>117</v>
      </c>
      <c r="E98" s="86">
        <v>1</v>
      </c>
      <c r="F98" s="16"/>
      <c r="G98" s="92" t="s">
        <v>88</v>
      </c>
      <c r="H98" s="103" t="s">
        <v>76</v>
      </c>
      <c r="I98" s="16"/>
      <c r="K98" s="9" t="str">
        <f t="shared" si="3"/>
        <v>96101-Psychological Testing/HO-Masters</v>
      </c>
    </row>
    <row r="99" spans="1:11" x14ac:dyDescent="0.2">
      <c r="A99" s="69"/>
      <c r="B99" s="68" t="s">
        <v>120</v>
      </c>
      <c r="C99" s="412"/>
      <c r="D99" s="69" t="s">
        <v>122</v>
      </c>
      <c r="E99" s="86">
        <v>0.25</v>
      </c>
      <c r="F99" s="16"/>
      <c r="G99" s="16"/>
      <c r="H99" s="16"/>
      <c r="I99" s="16"/>
      <c r="K99" s="9" t="str">
        <f t="shared" si="3"/>
        <v>T1016-Concurrent Case Mgt - FI Adult/-</v>
      </c>
    </row>
    <row r="100" spans="1:11" x14ac:dyDescent="0.2">
      <c r="A100" s="69"/>
      <c r="B100" s="68" t="s">
        <v>121</v>
      </c>
      <c r="C100" s="412"/>
      <c r="D100" s="69" t="s">
        <v>123</v>
      </c>
      <c r="E100" s="86">
        <v>0.25</v>
      </c>
      <c r="F100" s="16"/>
      <c r="G100" s="16"/>
      <c r="H100" s="16"/>
      <c r="I100" s="16"/>
      <c r="K100" s="9" t="str">
        <f t="shared" si="3"/>
        <v>T1017-Targeted Case Mgt - FI Adult/-</v>
      </c>
    </row>
    <row r="101" spans="1:11" x14ac:dyDescent="0.2">
      <c r="A101" s="69"/>
      <c r="B101" s="68"/>
      <c r="C101" s="73"/>
      <c r="D101" s="69"/>
      <c r="E101" s="86"/>
      <c r="F101" s="16"/>
      <c r="G101" s="16"/>
      <c r="H101" s="16"/>
      <c r="I101" s="16"/>
      <c r="K101" s="9" t="str">
        <f t="shared" si="3"/>
        <v>-/-</v>
      </c>
    </row>
    <row r="102" spans="1:11" x14ac:dyDescent="0.2">
      <c r="A102" s="69"/>
      <c r="B102" s="68"/>
      <c r="C102" s="68"/>
      <c r="D102" s="58"/>
      <c r="E102" s="86"/>
      <c r="F102" s="16"/>
      <c r="G102" s="16"/>
      <c r="H102" s="16"/>
      <c r="I102" s="16"/>
      <c r="K102" s="9" t="str">
        <f t="shared" si="3"/>
        <v>-/-</v>
      </c>
    </row>
    <row r="103" spans="1:11" x14ac:dyDescent="0.2">
      <c r="A103" s="69"/>
      <c r="B103" s="68"/>
      <c r="C103" s="73"/>
      <c r="D103" s="69"/>
      <c r="E103" s="86"/>
      <c r="F103" s="16"/>
      <c r="G103" s="16"/>
      <c r="H103" s="16"/>
      <c r="I103" s="16"/>
      <c r="K103" s="9" t="str">
        <f t="shared" si="3"/>
        <v>-/-</v>
      </c>
    </row>
    <row r="104" spans="1:11" ht="13.5" thickBot="1" x14ac:dyDescent="0.25">
      <c r="A104" s="66"/>
      <c r="B104" s="85"/>
      <c r="C104" s="85"/>
      <c r="D104" s="66"/>
      <c r="E104" s="14"/>
    </row>
    <row r="105" spans="1:11" x14ac:dyDescent="0.2">
      <c r="C105" s="85"/>
      <c r="D105" s="586" t="s">
        <v>99</v>
      </c>
      <c r="E105" s="587" t="s">
        <v>197</v>
      </c>
      <c r="F105" s="588"/>
      <c r="G105" s="157"/>
    </row>
    <row r="106" spans="1:11" x14ac:dyDescent="0.2">
      <c r="D106" s="589" t="s">
        <v>87</v>
      </c>
      <c r="E106" s="284" t="s">
        <v>94</v>
      </c>
      <c r="F106" s="590"/>
      <c r="G106" s="14"/>
    </row>
    <row r="107" spans="1:11" x14ac:dyDescent="0.2">
      <c r="D107" s="589" t="s">
        <v>78</v>
      </c>
      <c r="E107" s="284" t="s">
        <v>89</v>
      </c>
      <c r="F107" s="590"/>
      <c r="G107" s="14"/>
    </row>
    <row r="108" spans="1:11" x14ac:dyDescent="0.2">
      <c r="D108" s="589" t="s">
        <v>78</v>
      </c>
      <c r="E108" s="284" t="s">
        <v>184</v>
      </c>
      <c r="F108" s="590" t="s">
        <v>195</v>
      </c>
      <c r="G108" s="14"/>
    </row>
    <row r="109" spans="1:11" x14ac:dyDescent="0.2">
      <c r="D109" s="589" t="s">
        <v>78</v>
      </c>
      <c r="E109" s="284" t="s">
        <v>190</v>
      </c>
      <c r="F109" s="590" t="s">
        <v>196</v>
      </c>
      <c r="G109" s="14"/>
    </row>
    <row r="110" spans="1:11" x14ac:dyDescent="0.2">
      <c r="D110" s="589" t="s">
        <v>79</v>
      </c>
      <c r="E110" s="284" t="s">
        <v>90</v>
      </c>
      <c r="F110" s="590"/>
      <c r="G110" s="14"/>
    </row>
    <row r="111" spans="1:11" x14ac:dyDescent="0.2">
      <c r="D111" s="589" t="s">
        <v>79</v>
      </c>
      <c r="E111" s="284" t="s">
        <v>185</v>
      </c>
      <c r="F111" s="590" t="s">
        <v>195</v>
      </c>
      <c r="G111" s="14"/>
    </row>
    <row r="112" spans="1:11" x14ac:dyDescent="0.2">
      <c r="D112" s="589" t="s">
        <v>79</v>
      </c>
      <c r="E112" s="284" t="s">
        <v>191</v>
      </c>
      <c r="F112" s="590" t="s">
        <v>196</v>
      </c>
      <c r="G112" s="14"/>
    </row>
    <row r="113" spans="2:7" x14ac:dyDescent="0.2">
      <c r="D113" s="589" t="s">
        <v>86</v>
      </c>
      <c r="E113" s="284" t="s">
        <v>97</v>
      </c>
      <c r="F113" s="590"/>
      <c r="G113" s="14"/>
    </row>
    <row r="114" spans="2:7" x14ac:dyDescent="0.2">
      <c r="D114" s="589" t="s">
        <v>76</v>
      </c>
      <c r="E114" s="284" t="s">
        <v>88</v>
      </c>
      <c r="F114" s="590"/>
      <c r="G114" s="14"/>
    </row>
    <row r="115" spans="2:7" x14ac:dyDescent="0.2">
      <c r="D115" s="589" t="s">
        <v>76</v>
      </c>
      <c r="E115" s="284" t="s">
        <v>183</v>
      </c>
      <c r="F115" s="590" t="s">
        <v>195</v>
      </c>
      <c r="G115" s="14"/>
    </row>
    <row r="116" spans="2:7" x14ac:dyDescent="0.2">
      <c r="D116" s="589" t="s">
        <v>76</v>
      </c>
      <c r="E116" s="284" t="s">
        <v>188</v>
      </c>
      <c r="F116" s="590" t="s">
        <v>196</v>
      </c>
      <c r="G116" s="14"/>
    </row>
    <row r="117" spans="2:7" x14ac:dyDescent="0.2">
      <c r="D117" s="589" t="s">
        <v>28</v>
      </c>
      <c r="E117" s="284" t="s">
        <v>92</v>
      </c>
      <c r="F117" s="590"/>
      <c r="G117" s="14"/>
    </row>
    <row r="118" spans="2:7" x14ac:dyDescent="0.2">
      <c r="D118" s="589" t="s">
        <v>29</v>
      </c>
      <c r="E118" s="284" t="s">
        <v>93</v>
      </c>
      <c r="F118" s="590"/>
      <c r="G118" s="14"/>
    </row>
    <row r="119" spans="2:7" x14ac:dyDescent="0.2">
      <c r="D119" s="589" t="s">
        <v>20</v>
      </c>
      <c r="E119" s="284" t="s">
        <v>91</v>
      </c>
      <c r="F119" s="590"/>
      <c r="G119" s="14"/>
    </row>
    <row r="120" spans="2:7" x14ac:dyDescent="0.2">
      <c r="D120" s="589" t="s">
        <v>265</v>
      </c>
      <c r="E120" s="284" t="s">
        <v>95</v>
      </c>
      <c r="F120" s="590"/>
      <c r="G120" s="14"/>
    </row>
    <row r="121" spans="2:7" x14ac:dyDescent="0.2">
      <c r="D121" s="589" t="s">
        <v>265</v>
      </c>
      <c r="E121" s="284" t="s">
        <v>182</v>
      </c>
      <c r="F121" s="590" t="s">
        <v>195</v>
      </c>
      <c r="G121" s="14"/>
    </row>
    <row r="122" spans="2:7" x14ac:dyDescent="0.2">
      <c r="D122" s="589" t="s">
        <v>265</v>
      </c>
      <c r="E122" s="284" t="s">
        <v>187</v>
      </c>
      <c r="F122" s="590" t="s">
        <v>196</v>
      </c>
      <c r="G122" s="14"/>
    </row>
    <row r="123" spans="2:7" x14ac:dyDescent="0.2">
      <c r="D123" s="589" t="s">
        <v>82</v>
      </c>
      <c r="E123" s="284" t="s">
        <v>96</v>
      </c>
      <c r="F123" s="590"/>
      <c r="G123" s="14"/>
    </row>
    <row r="124" spans="2:7" x14ac:dyDescent="0.2">
      <c r="D124" s="589" t="s">
        <v>82</v>
      </c>
      <c r="E124" s="284" t="s">
        <v>186</v>
      </c>
      <c r="F124" s="590" t="s">
        <v>195</v>
      </c>
      <c r="G124" s="14"/>
    </row>
    <row r="125" spans="2:7" ht="13.5" thickBot="1" x14ac:dyDescent="0.25">
      <c r="D125" s="481" t="s">
        <v>82</v>
      </c>
      <c r="E125" s="591" t="s">
        <v>189</v>
      </c>
      <c r="F125" s="592" t="s">
        <v>196</v>
      </c>
      <c r="G125" s="14"/>
    </row>
    <row r="126" spans="2:7" ht="13.5" thickBot="1" x14ac:dyDescent="0.25"/>
    <row r="127" spans="2:7" ht="13.5" thickBot="1" x14ac:dyDescent="0.25">
      <c r="B127" s="496" t="s">
        <v>160</v>
      </c>
      <c r="C127" s="572"/>
      <c r="D127" s="579" t="s">
        <v>87</v>
      </c>
      <c r="F127" s="583" t="s">
        <v>235</v>
      </c>
    </row>
    <row r="128" spans="2:7" x14ac:dyDescent="0.2">
      <c r="B128" s="497"/>
      <c r="C128" s="14"/>
      <c r="D128" s="580" t="s">
        <v>78</v>
      </c>
      <c r="F128" s="584" t="s">
        <v>180</v>
      </c>
    </row>
    <row r="129" spans="2:6" x14ac:dyDescent="0.2">
      <c r="B129" s="573" t="s">
        <v>263</v>
      </c>
      <c r="C129" s="14"/>
      <c r="D129" s="581" t="s">
        <v>79</v>
      </c>
      <c r="F129" s="584" t="s">
        <v>236</v>
      </c>
    </row>
    <row r="130" spans="2:6" ht="13.5" thickBot="1" x14ac:dyDescent="0.25">
      <c r="B130" s="574" t="s">
        <v>40</v>
      </c>
      <c r="C130" s="575"/>
      <c r="D130" s="581" t="s">
        <v>86</v>
      </c>
      <c r="F130" s="585" t="s">
        <v>238</v>
      </c>
    </row>
    <row r="131" spans="2:6" ht="13.5" thickBot="1" x14ac:dyDescent="0.25">
      <c r="D131" s="581" t="s">
        <v>76</v>
      </c>
    </row>
    <row r="132" spans="2:6" x14ac:dyDescent="0.2">
      <c r="B132" s="496" t="s">
        <v>252</v>
      </c>
      <c r="C132" s="576"/>
      <c r="D132" s="581" t="s">
        <v>28</v>
      </c>
    </row>
    <row r="133" spans="2:6" x14ac:dyDescent="0.2">
      <c r="B133" s="498" t="s">
        <v>253</v>
      </c>
      <c r="C133" s="577"/>
      <c r="D133" s="581" t="s">
        <v>29</v>
      </c>
    </row>
    <row r="134" spans="2:6" ht="13.5" thickBot="1" x14ac:dyDescent="0.25">
      <c r="B134" s="499" t="s">
        <v>251</v>
      </c>
      <c r="C134" s="578"/>
      <c r="D134" s="581" t="s">
        <v>20</v>
      </c>
    </row>
    <row r="135" spans="2:6" x14ac:dyDescent="0.2">
      <c r="D135" s="581" t="s">
        <v>265</v>
      </c>
    </row>
    <row r="136" spans="2:6" ht="13.5" thickBot="1" x14ac:dyDescent="0.25">
      <c r="D136" s="582" t="s">
        <v>82</v>
      </c>
    </row>
  </sheetData>
  <sheetProtection algorithmName="SHA-512" hashValue="z/liJFf/35fKYNokI3/ZYdwwZI4GRtzXoQ8TgZjm7xV/1jzF0A0Z9Ka9QPjSGVugjd4VSaCJsr8QiMSBPWEunQ==" saltValue="tUVHfDIXQPOvnWFPKVTI0A==" spinCount="100000" sheet="1" objects="1" scenarios="1"/>
  <autoFilter ref="A8:I94" xr:uid="{00000000-0009-0000-0000-000001000000}"/>
  <sortState xmlns:xlrd2="http://schemas.microsoft.com/office/spreadsheetml/2017/richdata2" ref="A9:I115">
    <sortCondition ref="B3:B18"/>
  </sortState>
  <mergeCells count="2">
    <mergeCell ref="A1:F1"/>
    <mergeCell ref="A2:F2"/>
  </mergeCells>
  <pageMargins left="0.7" right="0.7" top="0.75" bottom="0.75" header="0.3" footer="0.3"/>
  <pageSetup scale="70" orientation="landscape" r:id="rId1"/>
  <headerFooter>
    <oddFooter>&amp;L&amp;D&amp;CPage 9</oddFooter>
  </headerFooter>
  <rowBreaks count="1" manualBreakCount="1">
    <brk id="10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391"/>
  <sheetViews>
    <sheetView zoomScaleNormal="100" workbookViewId="0">
      <selection activeCell="B11" sqref="B11"/>
    </sheetView>
  </sheetViews>
  <sheetFormatPr defaultColWidth="11.28515625" defaultRowHeight="12.75" x14ac:dyDescent="0.2"/>
  <cols>
    <col min="1" max="1" width="3.7109375" style="108" customWidth="1"/>
    <col min="2" max="2" width="39.5703125" style="108" bestFit="1" customWidth="1"/>
    <col min="3" max="3" width="40" style="108" bestFit="1" customWidth="1"/>
    <col min="4" max="4" width="13" style="108" bestFit="1" customWidth="1"/>
    <col min="5" max="7" width="14.42578125" style="108" customWidth="1"/>
    <col min="8" max="8" width="13.7109375" style="111" customWidth="1"/>
    <col min="9" max="9" width="13.140625" style="111" bestFit="1" customWidth="1"/>
    <col min="10" max="10" width="14.7109375" style="108" customWidth="1"/>
    <col min="11" max="11" width="14.7109375" style="109" customWidth="1"/>
    <col min="12" max="12" width="14.7109375" style="108" customWidth="1"/>
    <col min="13" max="13" width="11.5703125" style="158" customWidth="1"/>
    <col min="14" max="14" width="12.85546875" style="108" bestFit="1" customWidth="1"/>
    <col min="15" max="16384" width="11.28515625" style="108"/>
  </cols>
  <sheetData>
    <row r="1" spans="2:18" s="278" customFormat="1" ht="27.75" customHeight="1" x14ac:dyDescent="0.25">
      <c r="B1" s="640" t="s">
        <v>66</v>
      </c>
      <c r="C1" s="641"/>
      <c r="D1" s="641"/>
      <c r="E1" s="641"/>
      <c r="F1" s="641"/>
      <c r="G1" s="641"/>
      <c r="H1" s="641"/>
      <c r="I1" s="641"/>
      <c r="J1" s="641"/>
      <c r="K1" s="641"/>
      <c r="L1" s="641"/>
      <c r="M1" s="641"/>
      <c r="N1" s="641"/>
      <c r="O1" s="279"/>
      <c r="P1" s="279"/>
      <c r="Q1" s="279"/>
      <c r="R1" s="279"/>
    </row>
    <row r="2" spans="2:18" s="278" customFormat="1" ht="18" x14ac:dyDescent="0.25">
      <c r="B2" s="642" t="s">
        <v>234</v>
      </c>
      <c r="C2" s="643"/>
      <c r="D2" s="643"/>
      <c r="E2" s="643"/>
      <c r="F2" s="643"/>
      <c r="G2" s="643"/>
      <c r="H2" s="643"/>
      <c r="I2" s="643"/>
      <c r="J2" s="643"/>
      <c r="K2" s="643"/>
      <c r="L2" s="643"/>
      <c r="M2" s="643"/>
      <c r="N2" s="643"/>
    </row>
    <row r="3" spans="2:18" s="278" customFormat="1" ht="18" x14ac:dyDescent="0.25">
      <c r="B3" s="647">
        <f>+'General Information'!B10</f>
        <v>0</v>
      </c>
      <c r="C3" s="648"/>
      <c r="D3" s="648"/>
      <c r="E3" s="648"/>
      <c r="F3" s="648"/>
      <c r="G3" s="648"/>
      <c r="H3" s="648"/>
      <c r="I3" s="648"/>
      <c r="J3" s="648"/>
      <c r="K3" s="648"/>
      <c r="L3" s="648"/>
      <c r="M3" s="648"/>
      <c r="N3" s="648"/>
    </row>
    <row r="4" spans="2:18" s="278" customFormat="1" ht="18" x14ac:dyDescent="0.25">
      <c r="B4" s="647" t="s">
        <v>181</v>
      </c>
      <c r="C4" s="648"/>
      <c r="D4" s="648"/>
      <c r="E4" s="648"/>
      <c r="F4" s="648"/>
      <c r="G4" s="648"/>
      <c r="H4" s="648"/>
      <c r="I4" s="648"/>
      <c r="J4" s="648"/>
      <c r="K4" s="648"/>
      <c r="L4" s="648"/>
      <c r="M4" s="648"/>
      <c r="N4" s="648"/>
    </row>
    <row r="5" spans="2:18" x14ac:dyDescent="0.2">
      <c r="B5" s="649">
        <f>+'General Information'!B6</f>
        <v>0</v>
      </c>
      <c r="C5" s="650"/>
      <c r="D5" s="650"/>
      <c r="E5" s="650"/>
      <c r="F5" s="650"/>
      <c r="G5" s="650"/>
      <c r="H5" s="650"/>
      <c r="I5" s="650"/>
      <c r="J5" s="650"/>
      <c r="K5" s="650"/>
      <c r="L5" s="650"/>
      <c r="M5" s="650"/>
      <c r="N5" s="650"/>
    </row>
    <row r="6" spans="2:18" ht="12" customHeight="1" thickBot="1" x14ac:dyDescent="0.25">
      <c r="B6" s="491"/>
      <c r="C6" s="288"/>
      <c r="D6" s="288"/>
      <c r="E6" s="288"/>
      <c r="F6" s="288"/>
      <c r="G6" s="288"/>
      <c r="H6" s="288"/>
      <c r="I6" s="288"/>
      <c r="J6" s="288"/>
      <c r="K6" s="288"/>
      <c r="L6" s="288"/>
      <c r="M6" s="288"/>
      <c r="N6" s="288"/>
    </row>
    <row r="7" spans="2:18" ht="93.75" customHeight="1" thickBot="1" x14ac:dyDescent="0.25">
      <c r="B7" s="560"/>
      <c r="C7" s="567"/>
      <c r="D7" s="567"/>
      <c r="E7" s="598" t="s">
        <v>161</v>
      </c>
      <c r="F7" s="599" t="s">
        <v>154</v>
      </c>
      <c r="G7" s="568" t="s">
        <v>174</v>
      </c>
      <c r="H7" s="569" t="s">
        <v>250</v>
      </c>
      <c r="I7" s="568" t="s">
        <v>261</v>
      </c>
      <c r="J7" s="568" t="s">
        <v>153</v>
      </c>
      <c r="K7" s="568" t="s">
        <v>156</v>
      </c>
      <c r="L7" s="568" t="s">
        <v>159</v>
      </c>
      <c r="M7" s="570"/>
      <c r="N7" s="571"/>
    </row>
    <row r="8" spans="2:18" s="559" customFormat="1" ht="18.75" customHeight="1" x14ac:dyDescent="0.2">
      <c r="B8" s="554" t="s">
        <v>254</v>
      </c>
      <c r="C8" s="555"/>
      <c r="D8" s="555"/>
      <c r="E8" s="556">
        <f>SUMIF($D:$D,"Total",E:E)</f>
        <v>0</v>
      </c>
      <c r="F8" s="556">
        <f>SUMIF($D:$D,"Total",F:F)</f>
        <v>0</v>
      </c>
      <c r="G8" s="604">
        <f>SUMIF($D:$D,"Total",G:G)</f>
        <v>0</v>
      </c>
      <c r="H8" s="555"/>
      <c r="I8" s="557">
        <f>SUMIF($D:$D,"Total",I:I)</f>
        <v>0</v>
      </c>
      <c r="J8" s="556">
        <f>SUMIF($D:$D,"Total",J:J)</f>
        <v>0</v>
      </c>
      <c r="K8" s="556">
        <f>SUMIF($D:$D,"Total",K:K)</f>
        <v>0</v>
      </c>
      <c r="L8" s="556">
        <f>SUMIF($D:$D,"Total",L:L)</f>
        <v>0</v>
      </c>
      <c r="M8" s="555"/>
      <c r="N8" s="558"/>
    </row>
    <row r="9" spans="2:18" s="559" customFormat="1" ht="9.6" customHeight="1" thickBot="1" x14ac:dyDescent="0.25">
      <c r="B9" s="563"/>
      <c r="C9" s="564"/>
      <c r="D9" s="564"/>
      <c r="E9" s="565"/>
      <c r="F9" s="565"/>
      <c r="G9" s="566"/>
      <c r="H9" s="564"/>
      <c r="I9" s="566"/>
      <c r="J9" s="565"/>
      <c r="K9" s="565"/>
      <c r="L9" s="565"/>
      <c r="M9" s="564"/>
      <c r="N9" s="564"/>
    </row>
    <row r="10" spans="2:18" ht="15" x14ac:dyDescent="0.2">
      <c r="B10" s="519" t="s">
        <v>162</v>
      </c>
      <c r="C10" s="489"/>
      <c r="D10" s="489"/>
      <c r="E10" s="489"/>
      <c r="F10" s="489"/>
      <c r="G10" s="489"/>
      <c r="H10" s="489"/>
      <c r="I10" s="489"/>
      <c r="J10" s="489"/>
      <c r="K10" s="489"/>
      <c r="L10" s="489"/>
      <c r="M10" s="520"/>
      <c r="N10" s="490"/>
    </row>
    <row r="11" spans="2:18" ht="15.75" x14ac:dyDescent="0.25">
      <c r="B11" s="377"/>
      <c r="C11" s="386"/>
      <c r="D11" s="386"/>
      <c r="E11" s="386"/>
      <c r="F11" s="386"/>
      <c r="G11" s="386"/>
      <c r="H11" s="386"/>
      <c r="I11" s="386"/>
      <c r="J11" s="386"/>
      <c r="K11" s="386"/>
      <c r="L11" s="386"/>
      <c r="M11" s="387"/>
      <c r="N11" s="203"/>
    </row>
    <row r="12" spans="2:18" ht="16.5" thickBot="1" x14ac:dyDescent="0.3">
      <c r="B12" s="204"/>
      <c r="C12" s="205"/>
      <c r="D12" s="206"/>
      <c r="E12" s="207"/>
      <c r="F12" s="207"/>
      <c r="G12" s="207"/>
      <c r="H12" s="208"/>
      <c r="I12" s="208"/>
      <c r="J12" s="209"/>
      <c r="K12" s="210"/>
      <c r="L12" s="205"/>
      <c r="M12" s="211"/>
      <c r="N12" s="212"/>
    </row>
    <row r="13" spans="2:18" ht="15.75" thickBot="1" x14ac:dyDescent="0.25">
      <c r="B13" s="390"/>
      <c r="C13" s="390"/>
      <c r="D13" s="639"/>
      <c r="E13" s="639"/>
      <c r="F13" s="639"/>
      <c r="G13" s="639"/>
      <c r="H13" s="639"/>
      <c r="I13" s="639"/>
      <c r="J13" s="639"/>
      <c r="K13" s="639"/>
      <c r="L13" s="214"/>
      <c r="M13" s="215"/>
      <c r="N13" s="214"/>
    </row>
    <row r="14" spans="2:18" ht="15" x14ac:dyDescent="0.2">
      <c r="B14" s="381" t="s">
        <v>144</v>
      </c>
      <c r="C14" s="216" t="s">
        <v>145</v>
      </c>
      <c r="D14" s="216" t="s">
        <v>146</v>
      </c>
      <c r="E14" s="216" t="s">
        <v>147</v>
      </c>
      <c r="F14" s="217" t="s">
        <v>148</v>
      </c>
      <c r="G14" s="216" t="s">
        <v>157</v>
      </c>
      <c r="H14" s="217" t="s">
        <v>149</v>
      </c>
      <c r="I14" s="216" t="s">
        <v>150</v>
      </c>
      <c r="J14" s="218" t="s">
        <v>151</v>
      </c>
      <c r="K14" s="218" t="s">
        <v>158</v>
      </c>
      <c r="L14" s="218" t="s">
        <v>168</v>
      </c>
      <c r="M14" s="219" t="s">
        <v>219</v>
      </c>
      <c r="N14" s="382" t="s">
        <v>220</v>
      </c>
    </row>
    <row r="15" spans="2:18" ht="90" x14ac:dyDescent="0.2">
      <c r="B15" s="220" t="s">
        <v>152</v>
      </c>
      <c r="C15" s="221" t="s">
        <v>264</v>
      </c>
      <c r="D15" s="222" t="s">
        <v>164</v>
      </c>
      <c r="E15" s="600" t="s">
        <v>161</v>
      </c>
      <c r="F15" s="601" t="s">
        <v>154</v>
      </c>
      <c r="G15" s="222" t="s">
        <v>174</v>
      </c>
      <c r="H15" s="223" t="s">
        <v>250</v>
      </c>
      <c r="I15" s="223" t="s">
        <v>261</v>
      </c>
      <c r="J15" s="222" t="s">
        <v>153</v>
      </c>
      <c r="K15" s="222" t="s">
        <v>156</v>
      </c>
      <c r="L15" s="222" t="s">
        <v>159</v>
      </c>
      <c r="M15" s="224" t="s">
        <v>167</v>
      </c>
      <c r="N15" s="383" t="s">
        <v>166</v>
      </c>
    </row>
    <row r="16" spans="2:18" ht="15.75" x14ac:dyDescent="0.25">
      <c r="B16" s="225"/>
      <c r="C16" s="226" t="s">
        <v>162</v>
      </c>
      <c r="D16" s="222" t="s">
        <v>165</v>
      </c>
      <c r="E16" s="227"/>
      <c r="F16" s="228"/>
      <c r="G16" s="605"/>
      <c r="H16" s="223"/>
      <c r="I16" s="223"/>
      <c r="J16" s="222"/>
      <c r="K16" s="222"/>
      <c r="L16" s="222"/>
      <c r="M16" s="224"/>
      <c r="N16" s="383"/>
    </row>
    <row r="17" spans="2:14" s="110" customFormat="1" ht="15" x14ac:dyDescent="0.2">
      <c r="B17" s="371"/>
      <c r="C17" s="372"/>
      <c r="D17" s="373"/>
      <c r="E17" s="374"/>
      <c r="F17" s="374"/>
      <c r="G17" s="606"/>
      <c r="H17" s="375"/>
      <c r="I17" s="229" t="str">
        <f>IF(ISBLANK(G17),"",(ROUND(G17*H17,2)))</f>
        <v/>
      </c>
      <c r="J17" s="230" t="str">
        <f>IF(ISBLANK(E17),"",(ROUND(E17*H17,0)))</f>
        <v/>
      </c>
      <c r="K17" s="230" t="str">
        <f>IF(ISBLANK(F17),"",(ROUND(F17*H17,0)))</f>
        <v/>
      </c>
      <c r="L17" s="231" t="str">
        <f>IFERROR(IF(C17="contract labor",J17,(ROUND(J17+K17,0))),"")</f>
        <v/>
      </c>
      <c r="M17" s="232" t="str">
        <f>IFERROR(ROUND(E17/G17,2),"")</f>
        <v/>
      </c>
      <c r="N17" s="384" t="str">
        <f>IFERROR(ROUND(F17/E17,4),"")</f>
        <v/>
      </c>
    </row>
    <row r="18" spans="2:14" s="110" customFormat="1" ht="15" x14ac:dyDescent="0.2">
      <c r="B18" s="371"/>
      <c r="C18" s="372"/>
      <c r="D18" s="373"/>
      <c r="E18" s="374"/>
      <c r="F18" s="374"/>
      <c r="G18" s="606"/>
      <c r="H18" s="375"/>
      <c r="I18" s="229" t="str">
        <f t="shared" ref="I18:I32" si="0">IF(ISBLANK(G18),"",(ROUND(G18*H18,2)))</f>
        <v/>
      </c>
      <c r="J18" s="230" t="str">
        <f t="shared" ref="J18:J32" si="1">IF(ISBLANK(E18),"",(ROUND(E18*H18,0)))</f>
        <v/>
      </c>
      <c r="K18" s="230" t="str">
        <f t="shared" ref="K18:K32" si="2">IF(ISBLANK(F18),"",(ROUND(F18*H18,0)))</f>
        <v/>
      </c>
      <c r="L18" s="231" t="str">
        <f t="shared" ref="L18:L32" si="3">IFERROR(IF(C18="contract labor",J18,(ROUND(J18+K18,0))),"")</f>
        <v/>
      </c>
      <c r="M18" s="232" t="str">
        <f t="shared" ref="M18:M32" si="4">IFERROR(ROUND(E18/G18,2),"")</f>
        <v/>
      </c>
      <c r="N18" s="384" t="str">
        <f t="shared" ref="N18:N32" si="5">IFERROR(ROUND(F18/E18,4),"")</f>
        <v/>
      </c>
    </row>
    <row r="19" spans="2:14" s="110" customFormat="1" ht="15" x14ac:dyDescent="0.2">
      <c r="B19" s="371"/>
      <c r="C19" s="372"/>
      <c r="D19" s="373"/>
      <c r="E19" s="374"/>
      <c r="F19" s="374"/>
      <c r="G19" s="606"/>
      <c r="H19" s="375"/>
      <c r="I19" s="229" t="str">
        <f t="shared" si="0"/>
        <v/>
      </c>
      <c r="J19" s="230" t="str">
        <f t="shared" si="1"/>
        <v/>
      </c>
      <c r="K19" s="230" t="str">
        <f t="shared" si="2"/>
        <v/>
      </c>
      <c r="L19" s="231" t="str">
        <f t="shared" si="3"/>
        <v/>
      </c>
      <c r="M19" s="232" t="str">
        <f t="shared" si="4"/>
        <v/>
      </c>
      <c r="N19" s="384" t="str">
        <f t="shared" si="5"/>
        <v/>
      </c>
    </row>
    <row r="20" spans="2:14" s="110" customFormat="1" ht="15" x14ac:dyDescent="0.2">
      <c r="B20" s="371"/>
      <c r="C20" s="372"/>
      <c r="D20" s="373"/>
      <c r="E20" s="374"/>
      <c r="F20" s="374"/>
      <c r="G20" s="606"/>
      <c r="H20" s="375"/>
      <c r="I20" s="229" t="str">
        <f t="shared" si="0"/>
        <v/>
      </c>
      <c r="J20" s="230" t="str">
        <f t="shared" si="1"/>
        <v/>
      </c>
      <c r="K20" s="230" t="str">
        <f t="shared" si="2"/>
        <v/>
      </c>
      <c r="L20" s="231" t="str">
        <f t="shared" si="3"/>
        <v/>
      </c>
      <c r="M20" s="232" t="str">
        <f t="shared" si="4"/>
        <v/>
      </c>
      <c r="N20" s="384" t="str">
        <f t="shared" si="5"/>
        <v/>
      </c>
    </row>
    <row r="21" spans="2:14" s="110" customFormat="1" ht="15" x14ac:dyDescent="0.2">
      <c r="B21" s="371"/>
      <c r="C21" s="372"/>
      <c r="D21" s="373"/>
      <c r="E21" s="374"/>
      <c r="F21" s="374"/>
      <c r="G21" s="606"/>
      <c r="H21" s="375"/>
      <c r="I21" s="229" t="str">
        <f t="shared" si="0"/>
        <v/>
      </c>
      <c r="J21" s="230" t="str">
        <f t="shared" si="1"/>
        <v/>
      </c>
      <c r="K21" s="230" t="str">
        <f t="shared" si="2"/>
        <v/>
      </c>
      <c r="L21" s="231" t="str">
        <f t="shared" si="3"/>
        <v/>
      </c>
      <c r="M21" s="232" t="str">
        <f t="shared" si="4"/>
        <v/>
      </c>
      <c r="N21" s="384" t="str">
        <f t="shared" si="5"/>
        <v/>
      </c>
    </row>
    <row r="22" spans="2:14" s="110" customFormat="1" ht="15" x14ac:dyDescent="0.2">
      <c r="B22" s="371"/>
      <c r="C22" s="372"/>
      <c r="D22" s="373"/>
      <c r="E22" s="374"/>
      <c r="F22" s="374"/>
      <c r="G22" s="606"/>
      <c r="H22" s="375"/>
      <c r="I22" s="229" t="str">
        <f t="shared" si="0"/>
        <v/>
      </c>
      <c r="J22" s="230" t="str">
        <f t="shared" si="1"/>
        <v/>
      </c>
      <c r="K22" s="230" t="str">
        <f t="shared" si="2"/>
        <v/>
      </c>
      <c r="L22" s="231" t="str">
        <f t="shared" si="3"/>
        <v/>
      </c>
      <c r="M22" s="232" t="str">
        <f t="shared" si="4"/>
        <v/>
      </c>
      <c r="N22" s="384" t="str">
        <f t="shared" si="5"/>
        <v/>
      </c>
    </row>
    <row r="23" spans="2:14" s="110" customFormat="1" ht="15" x14ac:dyDescent="0.2">
      <c r="B23" s="371"/>
      <c r="C23" s="372"/>
      <c r="D23" s="373"/>
      <c r="E23" s="374"/>
      <c r="F23" s="374"/>
      <c r="G23" s="606"/>
      <c r="H23" s="375"/>
      <c r="I23" s="229" t="str">
        <f t="shared" si="0"/>
        <v/>
      </c>
      <c r="J23" s="230" t="str">
        <f t="shared" si="1"/>
        <v/>
      </c>
      <c r="K23" s="230" t="str">
        <f t="shared" si="2"/>
        <v/>
      </c>
      <c r="L23" s="231" t="str">
        <f t="shared" si="3"/>
        <v/>
      </c>
      <c r="M23" s="232" t="str">
        <f t="shared" si="4"/>
        <v/>
      </c>
      <c r="N23" s="384" t="str">
        <f t="shared" si="5"/>
        <v/>
      </c>
    </row>
    <row r="24" spans="2:14" s="110" customFormat="1" ht="15" x14ac:dyDescent="0.2">
      <c r="B24" s="371"/>
      <c r="C24" s="372"/>
      <c r="D24" s="373"/>
      <c r="E24" s="374"/>
      <c r="F24" s="374"/>
      <c r="G24" s="606"/>
      <c r="H24" s="375"/>
      <c r="I24" s="229" t="str">
        <f t="shared" si="0"/>
        <v/>
      </c>
      <c r="J24" s="230" t="str">
        <f t="shared" si="1"/>
        <v/>
      </c>
      <c r="K24" s="230" t="str">
        <f t="shared" si="2"/>
        <v/>
      </c>
      <c r="L24" s="231" t="str">
        <f t="shared" si="3"/>
        <v/>
      </c>
      <c r="M24" s="232" t="str">
        <f t="shared" si="4"/>
        <v/>
      </c>
      <c r="N24" s="384" t="str">
        <f t="shared" si="5"/>
        <v/>
      </c>
    </row>
    <row r="25" spans="2:14" s="110" customFormat="1" ht="15" x14ac:dyDescent="0.2">
      <c r="B25" s="371"/>
      <c r="C25" s="372"/>
      <c r="D25" s="373"/>
      <c r="E25" s="374"/>
      <c r="F25" s="374"/>
      <c r="G25" s="606"/>
      <c r="H25" s="375"/>
      <c r="I25" s="229" t="str">
        <f t="shared" si="0"/>
        <v/>
      </c>
      <c r="J25" s="230" t="str">
        <f t="shared" si="1"/>
        <v/>
      </c>
      <c r="K25" s="230" t="str">
        <f t="shared" si="2"/>
        <v/>
      </c>
      <c r="L25" s="231" t="str">
        <f t="shared" si="3"/>
        <v/>
      </c>
      <c r="M25" s="232" t="str">
        <f t="shared" si="4"/>
        <v/>
      </c>
      <c r="N25" s="384" t="str">
        <f t="shared" si="5"/>
        <v/>
      </c>
    </row>
    <row r="26" spans="2:14" s="110" customFormat="1" ht="15" x14ac:dyDescent="0.2">
      <c r="B26" s="371"/>
      <c r="C26" s="372"/>
      <c r="D26" s="373"/>
      <c r="E26" s="374"/>
      <c r="F26" s="374"/>
      <c r="G26" s="606"/>
      <c r="H26" s="375"/>
      <c r="I26" s="229" t="str">
        <f t="shared" si="0"/>
        <v/>
      </c>
      <c r="J26" s="230" t="str">
        <f t="shared" si="1"/>
        <v/>
      </c>
      <c r="K26" s="230" t="str">
        <f t="shared" si="2"/>
        <v/>
      </c>
      <c r="L26" s="231" t="str">
        <f t="shared" si="3"/>
        <v/>
      </c>
      <c r="M26" s="232" t="str">
        <f t="shared" si="4"/>
        <v/>
      </c>
      <c r="N26" s="384" t="str">
        <f t="shared" si="5"/>
        <v/>
      </c>
    </row>
    <row r="27" spans="2:14" s="110" customFormat="1" ht="15" x14ac:dyDescent="0.2">
      <c r="B27" s="371"/>
      <c r="C27" s="372"/>
      <c r="D27" s="373"/>
      <c r="E27" s="374"/>
      <c r="F27" s="374"/>
      <c r="G27" s="606"/>
      <c r="H27" s="375"/>
      <c r="I27" s="229" t="str">
        <f t="shared" si="0"/>
        <v/>
      </c>
      <c r="J27" s="230" t="str">
        <f t="shared" si="1"/>
        <v/>
      </c>
      <c r="K27" s="230" t="str">
        <f t="shared" si="2"/>
        <v/>
      </c>
      <c r="L27" s="231" t="str">
        <f t="shared" si="3"/>
        <v/>
      </c>
      <c r="M27" s="232" t="str">
        <f t="shared" si="4"/>
        <v/>
      </c>
      <c r="N27" s="384" t="str">
        <f t="shared" si="5"/>
        <v/>
      </c>
    </row>
    <row r="28" spans="2:14" s="110" customFormat="1" ht="15" x14ac:dyDescent="0.2">
      <c r="B28" s="371"/>
      <c r="C28" s="372"/>
      <c r="D28" s="373"/>
      <c r="E28" s="374"/>
      <c r="F28" s="374"/>
      <c r="G28" s="606"/>
      <c r="H28" s="375"/>
      <c r="I28" s="229" t="str">
        <f t="shared" si="0"/>
        <v/>
      </c>
      <c r="J28" s="230" t="str">
        <f t="shared" si="1"/>
        <v/>
      </c>
      <c r="K28" s="230" t="str">
        <f t="shared" si="2"/>
        <v/>
      </c>
      <c r="L28" s="231" t="str">
        <f t="shared" si="3"/>
        <v/>
      </c>
      <c r="M28" s="232" t="str">
        <f t="shared" si="4"/>
        <v/>
      </c>
      <c r="N28" s="384" t="str">
        <f t="shared" si="5"/>
        <v/>
      </c>
    </row>
    <row r="29" spans="2:14" s="110" customFormat="1" ht="15" x14ac:dyDescent="0.2">
      <c r="B29" s="371"/>
      <c r="C29" s="372"/>
      <c r="D29" s="373"/>
      <c r="E29" s="374"/>
      <c r="F29" s="374"/>
      <c r="G29" s="606"/>
      <c r="H29" s="375"/>
      <c r="I29" s="229" t="str">
        <f t="shared" si="0"/>
        <v/>
      </c>
      <c r="J29" s="230" t="str">
        <f t="shared" si="1"/>
        <v/>
      </c>
      <c r="K29" s="230" t="str">
        <f t="shared" si="2"/>
        <v/>
      </c>
      <c r="L29" s="231" t="str">
        <f t="shared" si="3"/>
        <v/>
      </c>
      <c r="M29" s="232" t="str">
        <f t="shared" si="4"/>
        <v/>
      </c>
      <c r="N29" s="384" t="str">
        <f t="shared" si="5"/>
        <v/>
      </c>
    </row>
    <row r="30" spans="2:14" s="110" customFormat="1" ht="15" x14ac:dyDescent="0.2">
      <c r="B30" s="371"/>
      <c r="C30" s="372"/>
      <c r="D30" s="373"/>
      <c r="E30" s="374"/>
      <c r="F30" s="374"/>
      <c r="G30" s="606"/>
      <c r="H30" s="375"/>
      <c r="I30" s="229" t="str">
        <f t="shared" si="0"/>
        <v/>
      </c>
      <c r="J30" s="230" t="str">
        <f t="shared" si="1"/>
        <v/>
      </c>
      <c r="K30" s="230" t="str">
        <f t="shared" si="2"/>
        <v/>
      </c>
      <c r="L30" s="231" t="str">
        <f t="shared" si="3"/>
        <v/>
      </c>
      <c r="M30" s="232" t="str">
        <f t="shared" si="4"/>
        <v/>
      </c>
      <c r="N30" s="384" t="str">
        <f t="shared" si="5"/>
        <v/>
      </c>
    </row>
    <row r="31" spans="2:14" s="110" customFormat="1" ht="15" x14ac:dyDescent="0.2">
      <c r="B31" s="371"/>
      <c r="C31" s="372"/>
      <c r="D31" s="373"/>
      <c r="E31" s="374"/>
      <c r="F31" s="374"/>
      <c r="G31" s="606"/>
      <c r="H31" s="375"/>
      <c r="I31" s="229" t="str">
        <f t="shared" si="0"/>
        <v/>
      </c>
      <c r="J31" s="230" t="str">
        <f t="shared" si="1"/>
        <v/>
      </c>
      <c r="K31" s="230" t="str">
        <f t="shared" si="2"/>
        <v/>
      </c>
      <c r="L31" s="231" t="str">
        <f t="shared" si="3"/>
        <v/>
      </c>
      <c r="M31" s="232" t="str">
        <f t="shared" si="4"/>
        <v/>
      </c>
      <c r="N31" s="384" t="str">
        <f t="shared" si="5"/>
        <v/>
      </c>
    </row>
    <row r="32" spans="2:14" s="110" customFormat="1" ht="15" x14ac:dyDescent="0.2">
      <c r="B32" s="371"/>
      <c r="C32" s="372"/>
      <c r="D32" s="373"/>
      <c r="E32" s="374"/>
      <c r="F32" s="374"/>
      <c r="G32" s="606"/>
      <c r="H32" s="375"/>
      <c r="I32" s="229" t="str">
        <f t="shared" si="0"/>
        <v/>
      </c>
      <c r="J32" s="230" t="str">
        <f t="shared" si="1"/>
        <v/>
      </c>
      <c r="K32" s="230" t="str">
        <f t="shared" si="2"/>
        <v/>
      </c>
      <c r="L32" s="231" t="str">
        <f t="shared" si="3"/>
        <v/>
      </c>
      <c r="M32" s="232" t="str">
        <f t="shared" si="4"/>
        <v/>
      </c>
      <c r="N32" s="384" t="str">
        <f t="shared" si="5"/>
        <v/>
      </c>
    </row>
    <row r="33" spans="1:14" s="110" customFormat="1" ht="15" x14ac:dyDescent="0.2">
      <c r="B33" s="371"/>
      <c r="C33" s="372"/>
      <c r="D33" s="373"/>
      <c r="E33" s="374"/>
      <c r="F33" s="374"/>
      <c r="G33" s="606"/>
      <c r="H33" s="375"/>
      <c r="I33" s="229" t="str">
        <f t="shared" ref="I33:I37" si="6">IF(ISBLANK(G33),"",(ROUND(G33*H33,2)))</f>
        <v/>
      </c>
      <c r="J33" s="230" t="str">
        <f t="shared" ref="J33:J37" si="7">IF(ISBLANK(E33),"",(ROUND(E33*H33,0)))</f>
        <v/>
      </c>
      <c r="K33" s="230" t="str">
        <f t="shared" ref="K33:K37" si="8">IF(ISBLANK(F33),"",(ROUND(F33*H33,0)))</f>
        <v/>
      </c>
      <c r="L33" s="231" t="str">
        <f t="shared" ref="L33:L37" si="9">IFERROR(IF(C33="contract labor",J33,(ROUND(J33+K33,0))),"")</f>
        <v/>
      </c>
      <c r="M33" s="232" t="str">
        <f t="shared" ref="M33:M37" si="10">IFERROR(ROUND(E33/G33,2),"")</f>
        <v/>
      </c>
      <c r="N33" s="384" t="str">
        <f t="shared" ref="N33:N37" si="11">IFERROR(ROUND(F33/E33,4),"")</f>
        <v/>
      </c>
    </row>
    <row r="34" spans="1:14" s="110" customFormat="1" ht="15" x14ac:dyDescent="0.2">
      <c r="B34" s="371"/>
      <c r="C34" s="372"/>
      <c r="D34" s="373"/>
      <c r="E34" s="374"/>
      <c r="F34" s="374"/>
      <c r="G34" s="606"/>
      <c r="H34" s="375"/>
      <c r="I34" s="229" t="str">
        <f t="shared" si="6"/>
        <v/>
      </c>
      <c r="J34" s="230" t="str">
        <f t="shared" si="7"/>
        <v/>
      </c>
      <c r="K34" s="230" t="str">
        <f t="shared" si="8"/>
        <v/>
      </c>
      <c r="L34" s="231" t="str">
        <f t="shared" si="9"/>
        <v/>
      </c>
      <c r="M34" s="232" t="str">
        <f t="shared" si="10"/>
        <v/>
      </c>
      <c r="N34" s="384" t="str">
        <f t="shared" si="11"/>
        <v/>
      </c>
    </row>
    <row r="35" spans="1:14" s="110" customFormat="1" ht="15" x14ac:dyDescent="0.2">
      <c r="B35" s="371"/>
      <c r="C35" s="372"/>
      <c r="D35" s="373"/>
      <c r="E35" s="374"/>
      <c r="F35" s="374"/>
      <c r="G35" s="606"/>
      <c r="H35" s="375"/>
      <c r="I35" s="229" t="str">
        <f t="shared" si="6"/>
        <v/>
      </c>
      <c r="J35" s="230" t="str">
        <f t="shared" si="7"/>
        <v/>
      </c>
      <c r="K35" s="230" t="str">
        <f t="shared" si="8"/>
        <v/>
      </c>
      <c r="L35" s="231" t="str">
        <f t="shared" si="9"/>
        <v/>
      </c>
      <c r="M35" s="232" t="str">
        <f t="shared" si="10"/>
        <v/>
      </c>
      <c r="N35" s="384" t="str">
        <f t="shared" si="11"/>
        <v/>
      </c>
    </row>
    <row r="36" spans="1:14" s="110" customFormat="1" ht="15" x14ac:dyDescent="0.2">
      <c r="B36" s="371"/>
      <c r="C36" s="372"/>
      <c r="D36" s="373"/>
      <c r="E36" s="374"/>
      <c r="F36" s="374"/>
      <c r="G36" s="606"/>
      <c r="H36" s="375"/>
      <c r="I36" s="229" t="str">
        <f t="shared" si="6"/>
        <v/>
      </c>
      <c r="J36" s="230" t="str">
        <f t="shared" si="7"/>
        <v/>
      </c>
      <c r="K36" s="230" t="str">
        <f t="shared" si="8"/>
        <v/>
      </c>
      <c r="L36" s="231" t="str">
        <f t="shared" si="9"/>
        <v/>
      </c>
      <c r="M36" s="232" t="str">
        <f t="shared" si="10"/>
        <v/>
      </c>
      <c r="N36" s="384" t="str">
        <f t="shared" si="11"/>
        <v/>
      </c>
    </row>
    <row r="37" spans="1:14" s="110" customFormat="1" ht="15" x14ac:dyDescent="0.2">
      <c r="B37" s="371"/>
      <c r="C37" s="372"/>
      <c r="D37" s="373"/>
      <c r="E37" s="374"/>
      <c r="F37" s="374"/>
      <c r="G37" s="606"/>
      <c r="H37" s="375"/>
      <c r="I37" s="229" t="str">
        <f t="shared" si="6"/>
        <v/>
      </c>
      <c r="J37" s="230" t="str">
        <f t="shared" si="7"/>
        <v/>
      </c>
      <c r="K37" s="230" t="str">
        <f t="shared" si="8"/>
        <v/>
      </c>
      <c r="L37" s="231" t="str">
        <f t="shared" si="9"/>
        <v/>
      </c>
      <c r="M37" s="232" t="str">
        <f t="shared" si="10"/>
        <v/>
      </c>
      <c r="N37" s="384" t="str">
        <f t="shared" si="11"/>
        <v/>
      </c>
    </row>
    <row r="38" spans="1:14" s="110" customFormat="1" ht="15" x14ac:dyDescent="0.2">
      <c r="B38" s="234"/>
      <c r="C38" s="235"/>
      <c r="D38" s="236"/>
      <c r="E38" s="237"/>
      <c r="F38" s="237"/>
      <c r="G38" s="607"/>
      <c r="H38" s="238"/>
      <c r="I38" s="238"/>
      <c r="J38" s="239"/>
      <c r="K38" s="240"/>
      <c r="L38" s="231"/>
      <c r="M38" s="232" t="str">
        <f t="shared" ref="M38" si="12">IFERROR(ROUND(E38/G38,2),"")</f>
        <v/>
      </c>
      <c r="N38" s="384" t="str">
        <f t="shared" ref="N38" si="13">IFERROR(ROUND(F38/E38,4),"")</f>
        <v/>
      </c>
    </row>
    <row r="39" spans="1:14" s="110" customFormat="1" ht="15.75" thickBot="1" x14ac:dyDescent="0.25">
      <c r="B39" s="241"/>
      <c r="C39" s="242"/>
      <c r="D39" s="243" t="s">
        <v>38</v>
      </c>
      <c r="E39" s="244">
        <f>SUM(E17:E38)</f>
        <v>0</v>
      </c>
      <c r="F39" s="244">
        <f>SUM(F17:F38)</f>
        <v>0</v>
      </c>
      <c r="G39" s="608">
        <f>SUM(G17:G38)</f>
        <v>0</v>
      </c>
      <c r="H39" s="246"/>
      <c r="I39" s="245">
        <f>SUM(I17:I38)</f>
        <v>0</v>
      </c>
      <c r="J39" s="244">
        <f>SUM(J17:J38)</f>
        <v>0</v>
      </c>
      <c r="K39" s="244">
        <f>SUM(K17:K38)</f>
        <v>0</v>
      </c>
      <c r="L39" s="244">
        <f>SUM(L17:L38)</f>
        <v>0</v>
      </c>
      <c r="M39" s="247" t="str">
        <f>IFERROR(ROUND(E39/G39,2),"")</f>
        <v/>
      </c>
      <c r="N39" s="385" t="str">
        <f>IFERROR(ROUND(F39/E39,4),"")</f>
        <v/>
      </c>
    </row>
    <row r="40" spans="1:14" s="110" customFormat="1" ht="15.75" thickBot="1" x14ac:dyDescent="0.25">
      <c r="B40" s="249"/>
      <c r="C40" s="249"/>
      <c r="D40" s="249"/>
      <c r="E40" s="249"/>
      <c r="F40" s="249"/>
      <c r="G40" s="249"/>
      <c r="H40" s="250"/>
      <c r="I40" s="250"/>
      <c r="J40" s="249"/>
      <c r="K40" s="251"/>
      <c r="L40" s="249"/>
      <c r="M40" s="252"/>
      <c r="N40" s="249"/>
    </row>
    <row r="41" spans="1:14" ht="15.75" x14ac:dyDescent="0.25">
      <c r="A41" s="108">
        <v>2</v>
      </c>
      <c r="B41" s="644"/>
      <c r="C41" s="645"/>
      <c r="D41" s="645"/>
      <c r="E41" s="645"/>
      <c r="F41" s="645"/>
      <c r="G41" s="645"/>
      <c r="H41" s="645"/>
      <c r="I41" s="645"/>
      <c r="J41" s="645"/>
      <c r="K41" s="645"/>
      <c r="L41" s="645"/>
      <c r="M41" s="645"/>
      <c r="N41" s="646"/>
    </row>
    <row r="42" spans="1:14" ht="15.75" x14ac:dyDescent="0.25">
      <c r="B42" s="253" t="s">
        <v>162</v>
      </c>
      <c r="C42" s="254"/>
      <c r="D42" s="255"/>
      <c r="E42" s="256"/>
      <c r="F42" s="256"/>
      <c r="G42" s="257"/>
      <c r="H42" s="258"/>
      <c r="I42" s="258"/>
      <c r="J42" s="259"/>
      <c r="K42" s="260"/>
      <c r="L42" s="256"/>
      <c r="M42" s="261"/>
      <c r="N42" s="262"/>
    </row>
    <row r="43" spans="1:14" ht="15.75" x14ac:dyDescent="0.25">
      <c r="B43" s="377"/>
      <c r="C43" s="254"/>
      <c r="D43" s="255"/>
      <c r="E43" s="256"/>
      <c r="F43" s="256"/>
      <c r="G43" s="257"/>
      <c r="H43" s="258"/>
      <c r="I43" s="258"/>
      <c r="J43" s="259"/>
      <c r="K43" s="260"/>
      <c r="L43" s="256"/>
      <c r="M43" s="261"/>
      <c r="N43" s="262"/>
    </row>
    <row r="44" spans="1:14" ht="16.5" thickBot="1" x14ac:dyDescent="0.3">
      <c r="B44" s="213"/>
      <c r="C44" s="256"/>
      <c r="D44" s="379"/>
      <c r="E44" s="388"/>
      <c r="F44" s="388"/>
      <c r="G44" s="388"/>
      <c r="H44" s="258"/>
      <c r="I44" s="258"/>
      <c r="J44" s="259"/>
      <c r="K44" s="380"/>
      <c r="L44" s="256"/>
      <c r="M44" s="261"/>
      <c r="N44" s="262"/>
    </row>
    <row r="45" spans="1:14" ht="15.75" thickBot="1" x14ac:dyDescent="0.25">
      <c r="B45" s="389"/>
      <c r="C45" s="390"/>
      <c r="D45" s="638"/>
      <c r="E45" s="638"/>
      <c r="F45" s="638"/>
      <c r="G45" s="638"/>
      <c r="H45" s="638"/>
      <c r="I45" s="638"/>
      <c r="J45" s="638"/>
      <c r="K45" s="638"/>
      <c r="L45" s="390"/>
      <c r="M45" s="391"/>
      <c r="N45" s="392"/>
    </row>
    <row r="46" spans="1:14" ht="15" x14ac:dyDescent="0.2">
      <c r="B46" s="381" t="s">
        <v>144</v>
      </c>
      <c r="C46" s="216" t="s">
        <v>145</v>
      </c>
      <c r="D46" s="216" t="s">
        <v>146</v>
      </c>
      <c r="E46" s="216" t="s">
        <v>147</v>
      </c>
      <c r="F46" s="217" t="s">
        <v>148</v>
      </c>
      <c r="G46" s="216" t="s">
        <v>157</v>
      </c>
      <c r="H46" s="217" t="s">
        <v>149</v>
      </c>
      <c r="I46" s="216" t="s">
        <v>150</v>
      </c>
      <c r="J46" s="218" t="s">
        <v>151</v>
      </c>
      <c r="K46" s="218" t="s">
        <v>158</v>
      </c>
      <c r="L46" s="218" t="s">
        <v>168</v>
      </c>
      <c r="M46" s="219" t="s">
        <v>219</v>
      </c>
      <c r="N46" s="382" t="s">
        <v>220</v>
      </c>
    </row>
    <row r="47" spans="1:14" ht="90" x14ac:dyDescent="0.2">
      <c r="B47" s="220" t="s">
        <v>152</v>
      </c>
      <c r="C47" s="221" t="s">
        <v>264</v>
      </c>
      <c r="D47" s="222" t="s">
        <v>164</v>
      </c>
      <c r="E47" s="600" t="s">
        <v>161</v>
      </c>
      <c r="F47" s="601" t="s">
        <v>154</v>
      </c>
      <c r="G47" s="223" t="s">
        <v>174</v>
      </c>
      <c r="H47" s="223" t="s">
        <v>155</v>
      </c>
      <c r="I47" s="223" t="s">
        <v>261</v>
      </c>
      <c r="J47" s="222" t="s">
        <v>153</v>
      </c>
      <c r="K47" s="222" t="s">
        <v>156</v>
      </c>
      <c r="L47" s="222" t="s">
        <v>159</v>
      </c>
      <c r="M47" s="224" t="s">
        <v>167</v>
      </c>
      <c r="N47" s="383" t="s">
        <v>166</v>
      </c>
    </row>
    <row r="48" spans="1:14" ht="15.75" x14ac:dyDescent="0.25">
      <c r="B48" s="225"/>
      <c r="C48" s="226" t="s">
        <v>162</v>
      </c>
      <c r="D48" s="222" t="s">
        <v>165</v>
      </c>
      <c r="E48" s="227"/>
      <c r="F48" s="228"/>
      <c r="G48" s="605"/>
      <c r="H48" s="223"/>
      <c r="I48" s="223"/>
      <c r="J48" s="222"/>
      <c r="K48" s="222"/>
      <c r="L48" s="222"/>
      <c r="M48" s="224"/>
      <c r="N48" s="383"/>
    </row>
    <row r="49" spans="2:14" s="110" customFormat="1" ht="15" x14ac:dyDescent="0.2">
      <c r="B49" s="371"/>
      <c r="C49" s="372"/>
      <c r="D49" s="373"/>
      <c r="E49" s="374"/>
      <c r="F49" s="374"/>
      <c r="G49" s="606"/>
      <c r="H49" s="375"/>
      <c r="I49" s="229" t="str">
        <f>IF(ISBLANK(G49),"",(ROUND(G49*H49,2)))</f>
        <v/>
      </c>
      <c r="J49" s="230" t="str">
        <f>IF(ISBLANK(E49),"",(ROUND(E49*H49,0)))</f>
        <v/>
      </c>
      <c r="K49" s="230" t="str">
        <f>IF(ISBLANK(F49),"",(ROUND(F49*H49,0)))</f>
        <v/>
      </c>
      <c r="L49" s="231" t="str">
        <f t="shared" ref="L49:L75" si="14">IFERROR(IF(C49="contract labor",J49,(ROUND(J49+K49,0))),"")</f>
        <v/>
      </c>
      <c r="M49" s="232" t="str">
        <f>IFERROR(ROUND(E49/G49,2),"")</f>
        <v/>
      </c>
      <c r="N49" s="384" t="str">
        <f>IFERROR(ROUND(F49/E49,4),"")</f>
        <v/>
      </c>
    </row>
    <row r="50" spans="2:14" s="110" customFormat="1" ht="15" x14ac:dyDescent="0.2">
      <c r="B50" s="371"/>
      <c r="C50" s="372"/>
      <c r="D50" s="373"/>
      <c r="E50" s="374"/>
      <c r="F50" s="374"/>
      <c r="G50" s="606"/>
      <c r="H50" s="375"/>
      <c r="I50" s="229" t="str">
        <f t="shared" ref="I50:I75" si="15">IF(ISBLANK(G50),"",(ROUND(G50*H50,2)))</f>
        <v/>
      </c>
      <c r="J50" s="230" t="str">
        <f t="shared" ref="J50:J75" si="16">IF(ISBLANK(E50),"",(ROUND(E50*H50,0)))</f>
        <v/>
      </c>
      <c r="K50" s="230" t="str">
        <f t="shared" ref="K50:K75" si="17">IF(ISBLANK(F50),"",(ROUND(F50*H50,0)))</f>
        <v/>
      </c>
      <c r="L50" s="231" t="str">
        <f t="shared" si="14"/>
        <v/>
      </c>
      <c r="M50" s="232" t="str">
        <f t="shared" ref="M50:M75" si="18">IFERROR(ROUND(E50/G50,2),"")</f>
        <v/>
      </c>
      <c r="N50" s="384" t="str">
        <f t="shared" ref="N50:N75" si="19">IFERROR(ROUND(F50/E50,4),"")</f>
        <v/>
      </c>
    </row>
    <row r="51" spans="2:14" s="110" customFormat="1" ht="15" x14ac:dyDescent="0.2">
      <c r="B51" s="371"/>
      <c r="C51" s="372"/>
      <c r="D51" s="373"/>
      <c r="E51" s="374"/>
      <c r="F51" s="374"/>
      <c r="G51" s="606"/>
      <c r="H51" s="375"/>
      <c r="I51" s="229" t="str">
        <f t="shared" si="15"/>
        <v/>
      </c>
      <c r="J51" s="230" t="str">
        <f t="shared" si="16"/>
        <v/>
      </c>
      <c r="K51" s="230" t="str">
        <f t="shared" si="17"/>
        <v/>
      </c>
      <c r="L51" s="231" t="str">
        <f t="shared" si="14"/>
        <v/>
      </c>
      <c r="M51" s="232" t="str">
        <f t="shared" si="18"/>
        <v/>
      </c>
      <c r="N51" s="384" t="str">
        <f t="shared" si="19"/>
        <v/>
      </c>
    </row>
    <row r="52" spans="2:14" s="110" customFormat="1" ht="15" x14ac:dyDescent="0.2">
      <c r="B52" s="371"/>
      <c r="C52" s="372"/>
      <c r="D52" s="373"/>
      <c r="E52" s="374"/>
      <c r="F52" s="374"/>
      <c r="G52" s="606"/>
      <c r="H52" s="375"/>
      <c r="I52" s="229" t="str">
        <f t="shared" si="15"/>
        <v/>
      </c>
      <c r="J52" s="230" t="str">
        <f t="shared" si="16"/>
        <v/>
      </c>
      <c r="K52" s="230" t="str">
        <f t="shared" si="17"/>
        <v/>
      </c>
      <c r="L52" s="231" t="str">
        <f t="shared" si="14"/>
        <v/>
      </c>
      <c r="M52" s="232" t="str">
        <f t="shared" si="18"/>
        <v/>
      </c>
      <c r="N52" s="384" t="str">
        <f t="shared" si="19"/>
        <v/>
      </c>
    </row>
    <row r="53" spans="2:14" s="110" customFormat="1" ht="15" x14ac:dyDescent="0.2">
      <c r="B53" s="371"/>
      <c r="C53" s="372"/>
      <c r="D53" s="373"/>
      <c r="E53" s="374"/>
      <c r="F53" s="374"/>
      <c r="G53" s="606"/>
      <c r="H53" s="375"/>
      <c r="I53" s="229" t="str">
        <f t="shared" si="15"/>
        <v/>
      </c>
      <c r="J53" s="230" t="str">
        <f t="shared" si="16"/>
        <v/>
      </c>
      <c r="K53" s="230" t="str">
        <f t="shared" si="17"/>
        <v/>
      </c>
      <c r="L53" s="231" t="str">
        <f t="shared" si="14"/>
        <v/>
      </c>
      <c r="M53" s="232" t="str">
        <f t="shared" si="18"/>
        <v/>
      </c>
      <c r="N53" s="384" t="str">
        <f t="shared" si="19"/>
        <v/>
      </c>
    </row>
    <row r="54" spans="2:14" s="110" customFormat="1" ht="15" x14ac:dyDescent="0.2">
      <c r="B54" s="371"/>
      <c r="C54" s="372"/>
      <c r="D54" s="373"/>
      <c r="E54" s="374"/>
      <c r="F54" s="374"/>
      <c r="G54" s="606"/>
      <c r="H54" s="375"/>
      <c r="I54" s="229" t="str">
        <f t="shared" si="15"/>
        <v/>
      </c>
      <c r="J54" s="230" t="str">
        <f t="shared" si="16"/>
        <v/>
      </c>
      <c r="K54" s="230" t="str">
        <f t="shared" si="17"/>
        <v/>
      </c>
      <c r="L54" s="231" t="str">
        <f t="shared" si="14"/>
        <v/>
      </c>
      <c r="M54" s="232" t="str">
        <f t="shared" si="18"/>
        <v/>
      </c>
      <c r="N54" s="384" t="str">
        <f t="shared" si="19"/>
        <v/>
      </c>
    </row>
    <row r="55" spans="2:14" s="110" customFormat="1" ht="15" x14ac:dyDescent="0.2">
      <c r="B55" s="371"/>
      <c r="C55" s="372"/>
      <c r="D55" s="373"/>
      <c r="E55" s="374"/>
      <c r="F55" s="374"/>
      <c r="G55" s="606"/>
      <c r="H55" s="375"/>
      <c r="I55" s="229" t="str">
        <f t="shared" si="15"/>
        <v/>
      </c>
      <c r="J55" s="230" t="str">
        <f t="shared" si="16"/>
        <v/>
      </c>
      <c r="K55" s="230" t="str">
        <f t="shared" si="17"/>
        <v/>
      </c>
      <c r="L55" s="231" t="str">
        <f t="shared" si="14"/>
        <v/>
      </c>
      <c r="M55" s="232" t="str">
        <f t="shared" si="18"/>
        <v/>
      </c>
      <c r="N55" s="384" t="str">
        <f t="shared" si="19"/>
        <v/>
      </c>
    </row>
    <row r="56" spans="2:14" s="110" customFormat="1" ht="15" x14ac:dyDescent="0.2">
      <c r="B56" s="371"/>
      <c r="C56" s="372"/>
      <c r="D56" s="373"/>
      <c r="E56" s="374"/>
      <c r="F56" s="374"/>
      <c r="G56" s="606"/>
      <c r="H56" s="375"/>
      <c r="I56" s="229" t="str">
        <f t="shared" si="15"/>
        <v/>
      </c>
      <c r="J56" s="230" t="str">
        <f t="shared" si="16"/>
        <v/>
      </c>
      <c r="K56" s="230" t="str">
        <f t="shared" si="17"/>
        <v/>
      </c>
      <c r="L56" s="231" t="str">
        <f t="shared" si="14"/>
        <v/>
      </c>
      <c r="M56" s="232" t="str">
        <f t="shared" si="18"/>
        <v/>
      </c>
      <c r="N56" s="384" t="str">
        <f t="shared" si="19"/>
        <v/>
      </c>
    </row>
    <row r="57" spans="2:14" s="110" customFormat="1" ht="15" x14ac:dyDescent="0.2">
      <c r="B57" s="371"/>
      <c r="C57" s="372"/>
      <c r="D57" s="373"/>
      <c r="E57" s="374"/>
      <c r="F57" s="374"/>
      <c r="G57" s="606"/>
      <c r="H57" s="375"/>
      <c r="I57" s="229" t="str">
        <f t="shared" si="15"/>
        <v/>
      </c>
      <c r="J57" s="230" t="str">
        <f t="shared" si="16"/>
        <v/>
      </c>
      <c r="K57" s="230" t="str">
        <f t="shared" si="17"/>
        <v/>
      </c>
      <c r="L57" s="231" t="str">
        <f t="shared" si="14"/>
        <v/>
      </c>
      <c r="M57" s="232" t="str">
        <f t="shared" si="18"/>
        <v/>
      </c>
      <c r="N57" s="384" t="str">
        <f t="shared" si="19"/>
        <v/>
      </c>
    </row>
    <row r="58" spans="2:14" s="110" customFormat="1" ht="15" x14ac:dyDescent="0.2">
      <c r="B58" s="371"/>
      <c r="C58" s="372"/>
      <c r="D58" s="373"/>
      <c r="E58" s="374"/>
      <c r="F58" s="374"/>
      <c r="G58" s="606"/>
      <c r="H58" s="375"/>
      <c r="I58" s="229" t="str">
        <f t="shared" si="15"/>
        <v/>
      </c>
      <c r="J58" s="230" t="str">
        <f t="shared" si="16"/>
        <v/>
      </c>
      <c r="K58" s="230" t="str">
        <f t="shared" si="17"/>
        <v/>
      </c>
      <c r="L58" s="231" t="str">
        <f t="shared" si="14"/>
        <v/>
      </c>
      <c r="M58" s="232" t="str">
        <f t="shared" si="18"/>
        <v/>
      </c>
      <c r="N58" s="384" t="str">
        <f t="shared" si="19"/>
        <v/>
      </c>
    </row>
    <row r="59" spans="2:14" s="110" customFormat="1" ht="15" x14ac:dyDescent="0.2">
      <c r="B59" s="371"/>
      <c r="C59" s="372"/>
      <c r="D59" s="373"/>
      <c r="E59" s="374"/>
      <c r="F59" s="374"/>
      <c r="G59" s="606"/>
      <c r="H59" s="375"/>
      <c r="I59" s="229" t="str">
        <f t="shared" si="15"/>
        <v/>
      </c>
      <c r="J59" s="230" t="str">
        <f t="shared" si="16"/>
        <v/>
      </c>
      <c r="K59" s="230" t="str">
        <f t="shared" si="17"/>
        <v/>
      </c>
      <c r="L59" s="231" t="str">
        <f t="shared" si="14"/>
        <v/>
      </c>
      <c r="M59" s="232" t="str">
        <f t="shared" si="18"/>
        <v/>
      </c>
      <c r="N59" s="384" t="str">
        <f t="shared" si="19"/>
        <v/>
      </c>
    </row>
    <row r="60" spans="2:14" s="110" customFormat="1" ht="15" x14ac:dyDescent="0.2">
      <c r="B60" s="371"/>
      <c r="C60" s="372"/>
      <c r="D60" s="373"/>
      <c r="E60" s="374"/>
      <c r="F60" s="374"/>
      <c r="G60" s="606"/>
      <c r="H60" s="375"/>
      <c r="I60" s="229" t="str">
        <f t="shared" si="15"/>
        <v/>
      </c>
      <c r="J60" s="230" t="str">
        <f t="shared" si="16"/>
        <v/>
      </c>
      <c r="K60" s="230" t="str">
        <f t="shared" si="17"/>
        <v/>
      </c>
      <c r="L60" s="231" t="str">
        <f t="shared" si="14"/>
        <v/>
      </c>
      <c r="M60" s="232" t="str">
        <f t="shared" si="18"/>
        <v/>
      </c>
      <c r="N60" s="384" t="str">
        <f t="shared" si="19"/>
        <v/>
      </c>
    </row>
    <row r="61" spans="2:14" s="110" customFormat="1" ht="15" x14ac:dyDescent="0.2">
      <c r="B61" s="371"/>
      <c r="C61" s="372"/>
      <c r="D61" s="373"/>
      <c r="E61" s="374"/>
      <c r="F61" s="374"/>
      <c r="G61" s="606"/>
      <c r="H61" s="375"/>
      <c r="I61" s="229" t="str">
        <f t="shared" si="15"/>
        <v/>
      </c>
      <c r="J61" s="230" t="str">
        <f t="shared" si="16"/>
        <v/>
      </c>
      <c r="K61" s="230" t="str">
        <f t="shared" si="17"/>
        <v/>
      </c>
      <c r="L61" s="231" t="str">
        <f t="shared" si="14"/>
        <v/>
      </c>
      <c r="M61" s="232" t="str">
        <f t="shared" si="18"/>
        <v/>
      </c>
      <c r="N61" s="384" t="str">
        <f t="shared" si="19"/>
        <v/>
      </c>
    </row>
    <row r="62" spans="2:14" s="110" customFormat="1" ht="15" x14ac:dyDescent="0.2">
      <c r="B62" s="371"/>
      <c r="C62" s="372"/>
      <c r="D62" s="373"/>
      <c r="E62" s="374"/>
      <c r="F62" s="374"/>
      <c r="G62" s="606"/>
      <c r="H62" s="375"/>
      <c r="I62" s="229" t="str">
        <f t="shared" si="15"/>
        <v/>
      </c>
      <c r="J62" s="230" t="str">
        <f t="shared" si="16"/>
        <v/>
      </c>
      <c r="K62" s="230" t="str">
        <f t="shared" si="17"/>
        <v/>
      </c>
      <c r="L62" s="231" t="str">
        <f t="shared" si="14"/>
        <v/>
      </c>
      <c r="M62" s="232" t="str">
        <f t="shared" si="18"/>
        <v/>
      </c>
      <c r="N62" s="384" t="str">
        <f t="shared" si="19"/>
        <v/>
      </c>
    </row>
    <row r="63" spans="2:14" s="110" customFormat="1" ht="15" x14ac:dyDescent="0.2">
      <c r="B63" s="371"/>
      <c r="C63" s="372"/>
      <c r="D63" s="373"/>
      <c r="E63" s="374"/>
      <c r="F63" s="374"/>
      <c r="G63" s="606"/>
      <c r="H63" s="375"/>
      <c r="I63" s="229" t="str">
        <f t="shared" si="15"/>
        <v/>
      </c>
      <c r="J63" s="230" t="str">
        <f t="shared" si="16"/>
        <v/>
      </c>
      <c r="K63" s="230" t="str">
        <f t="shared" si="17"/>
        <v/>
      </c>
      <c r="L63" s="231" t="str">
        <f t="shared" si="14"/>
        <v/>
      </c>
      <c r="M63" s="232" t="str">
        <f t="shared" si="18"/>
        <v/>
      </c>
      <c r="N63" s="384" t="str">
        <f t="shared" si="19"/>
        <v/>
      </c>
    </row>
    <row r="64" spans="2:14" s="110" customFormat="1" ht="15" x14ac:dyDescent="0.2">
      <c r="B64" s="371"/>
      <c r="C64" s="372"/>
      <c r="D64" s="373"/>
      <c r="E64" s="374"/>
      <c r="F64" s="374"/>
      <c r="G64" s="606"/>
      <c r="H64" s="375"/>
      <c r="I64" s="229" t="str">
        <f t="shared" si="15"/>
        <v/>
      </c>
      <c r="J64" s="230" t="str">
        <f t="shared" si="16"/>
        <v/>
      </c>
      <c r="K64" s="230" t="str">
        <f t="shared" si="17"/>
        <v/>
      </c>
      <c r="L64" s="231" t="str">
        <f t="shared" si="14"/>
        <v/>
      </c>
      <c r="M64" s="232" t="str">
        <f t="shared" si="18"/>
        <v/>
      </c>
      <c r="N64" s="384" t="str">
        <f t="shared" si="19"/>
        <v/>
      </c>
    </row>
    <row r="65" spans="1:14" s="110" customFormat="1" ht="15" x14ac:dyDescent="0.2">
      <c r="B65" s="371"/>
      <c r="C65" s="372"/>
      <c r="D65" s="373"/>
      <c r="E65" s="374"/>
      <c r="F65" s="374"/>
      <c r="G65" s="606"/>
      <c r="H65" s="375"/>
      <c r="I65" s="229" t="str">
        <f t="shared" si="15"/>
        <v/>
      </c>
      <c r="J65" s="230" t="str">
        <f t="shared" si="16"/>
        <v/>
      </c>
      <c r="K65" s="230" t="str">
        <f t="shared" si="17"/>
        <v/>
      </c>
      <c r="L65" s="231" t="str">
        <f t="shared" si="14"/>
        <v/>
      </c>
      <c r="M65" s="232" t="str">
        <f t="shared" si="18"/>
        <v/>
      </c>
      <c r="N65" s="384" t="str">
        <f t="shared" si="19"/>
        <v/>
      </c>
    </row>
    <row r="66" spans="1:14" s="110" customFormat="1" ht="15" x14ac:dyDescent="0.2">
      <c r="B66" s="371"/>
      <c r="C66" s="372"/>
      <c r="D66" s="373"/>
      <c r="E66" s="374"/>
      <c r="F66" s="374"/>
      <c r="G66" s="606"/>
      <c r="H66" s="375"/>
      <c r="I66" s="229" t="str">
        <f t="shared" si="15"/>
        <v/>
      </c>
      <c r="J66" s="230" t="str">
        <f t="shared" si="16"/>
        <v/>
      </c>
      <c r="K66" s="230" t="str">
        <f t="shared" si="17"/>
        <v/>
      </c>
      <c r="L66" s="231" t="str">
        <f t="shared" si="14"/>
        <v/>
      </c>
      <c r="M66" s="232" t="str">
        <f t="shared" si="18"/>
        <v/>
      </c>
      <c r="N66" s="384" t="str">
        <f t="shared" si="19"/>
        <v/>
      </c>
    </row>
    <row r="67" spans="1:14" s="110" customFormat="1" ht="15" x14ac:dyDescent="0.2">
      <c r="B67" s="371"/>
      <c r="C67" s="372"/>
      <c r="D67" s="373"/>
      <c r="E67" s="374"/>
      <c r="F67" s="374"/>
      <c r="G67" s="606"/>
      <c r="H67" s="375"/>
      <c r="I67" s="229" t="str">
        <f t="shared" si="15"/>
        <v/>
      </c>
      <c r="J67" s="230" t="str">
        <f t="shared" si="16"/>
        <v/>
      </c>
      <c r="K67" s="230" t="str">
        <f t="shared" si="17"/>
        <v/>
      </c>
      <c r="L67" s="231" t="str">
        <f t="shared" si="14"/>
        <v/>
      </c>
      <c r="M67" s="232" t="str">
        <f t="shared" si="18"/>
        <v/>
      </c>
      <c r="N67" s="384" t="str">
        <f t="shared" si="19"/>
        <v/>
      </c>
    </row>
    <row r="68" spans="1:14" s="110" customFormat="1" ht="15" x14ac:dyDescent="0.2">
      <c r="B68" s="371"/>
      <c r="C68" s="372"/>
      <c r="D68" s="373"/>
      <c r="E68" s="374"/>
      <c r="F68" s="374"/>
      <c r="G68" s="606"/>
      <c r="H68" s="375"/>
      <c r="I68" s="229" t="str">
        <f t="shared" si="15"/>
        <v/>
      </c>
      <c r="J68" s="230" t="str">
        <f t="shared" si="16"/>
        <v/>
      </c>
      <c r="K68" s="230" t="str">
        <f t="shared" si="17"/>
        <v/>
      </c>
      <c r="L68" s="231" t="str">
        <f t="shared" si="14"/>
        <v/>
      </c>
      <c r="M68" s="232" t="str">
        <f t="shared" si="18"/>
        <v/>
      </c>
      <c r="N68" s="384" t="str">
        <f t="shared" si="19"/>
        <v/>
      </c>
    </row>
    <row r="69" spans="1:14" s="110" customFormat="1" ht="15" x14ac:dyDescent="0.2">
      <c r="B69" s="371"/>
      <c r="C69" s="372"/>
      <c r="D69" s="373"/>
      <c r="E69" s="374"/>
      <c r="F69" s="374"/>
      <c r="G69" s="606"/>
      <c r="H69" s="375"/>
      <c r="I69" s="229" t="str">
        <f t="shared" si="15"/>
        <v/>
      </c>
      <c r="J69" s="230" t="str">
        <f t="shared" si="16"/>
        <v/>
      </c>
      <c r="K69" s="230" t="str">
        <f t="shared" si="17"/>
        <v/>
      </c>
      <c r="L69" s="231" t="str">
        <f t="shared" si="14"/>
        <v/>
      </c>
      <c r="M69" s="232" t="str">
        <f t="shared" si="18"/>
        <v/>
      </c>
      <c r="N69" s="384" t="str">
        <f t="shared" si="19"/>
        <v/>
      </c>
    </row>
    <row r="70" spans="1:14" s="110" customFormat="1" ht="15" x14ac:dyDescent="0.2">
      <c r="B70" s="371"/>
      <c r="C70" s="372"/>
      <c r="D70" s="373"/>
      <c r="E70" s="374"/>
      <c r="F70" s="374"/>
      <c r="G70" s="606"/>
      <c r="H70" s="375"/>
      <c r="I70" s="229" t="str">
        <f t="shared" si="15"/>
        <v/>
      </c>
      <c r="J70" s="230" t="str">
        <f t="shared" si="16"/>
        <v/>
      </c>
      <c r="K70" s="230" t="str">
        <f t="shared" si="17"/>
        <v/>
      </c>
      <c r="L70" s="231" t="str">
        <f t="shared" si="14"/>
        <v/>
      </c>
      <c r="M70" s="232" t="str">
        <f t="shared" si="18"/>
        <v/>
      </c>
      <c r="N70" s="384" t="str">
        <f t="shared" si="19"/>
        <v/>
      </c>
    </row>
    <row r="71" spans="1:14" s="110" customFormat="1" ht="15" x14ac:dyDescent="0.2">
      <c r="B71" s="371"/>
      <c r="C71" s="372"/>
      <c r="D71" s="373"/>
      <c r="E71" s="374"/>
      <c r="F71" s="374"/>
      <c r="G71" s="606"/>
      <c r="H71" s="375"/>
      <c r="I71" s="229" t="str">
        <f t="shared" si="15"/>
        <v/>
      </c>
      <c r="J71" s="230" t="str">
        <f t="shared" si="16"/>
        <v/>
      </c>
      <c r="K71" s="230" t="str">
        <f t="shared" si="17"/>
        <v/>
      </c>
      <c r="L71" s="231" t="str">
        <f t="shared" si="14"/>
        <v/>
      </c>
      <c r="M71" s="232" t="str">
        <f t="shared" si="18"/>
        <v/>
      </c>
      <c r="N71" s="384" t="str">
        <f t="shared" si="19"/>
        <v/>
      </c>
    </row>
    <row r="72" spans="1:14" s="110" customFormat="1" ht="15" x14ac:dyDescent="0.2">
      <c r="B72" s="371"/>
      <c r="C72" s="372"/>
      <c r="D72" s="373"/>
      <c r="E72" s="374"/>
      <c r="F72" s="374"/>
      <c r="G72" s="606"/>
      <c r="H72" s="375"/>
      <c r="I72" s="229" t="str">
        <f t="shared" si="15"/>
        <v/>
      </c>
      <c r="J72" s="230" t="str">
        <f t="shared" si="16"/>
        <v/>
      </c>
      <c r="K72" s="230" t="str">
        <f t="shared" si="17"/>
        <v/>
      </c>
      <c r="L72" s="231" t="str">
        <f t="shared" si="14"/>
        <v/>
      </c>
      <c r="M72" s="232" t="str">
        <f t="shared" si="18"/>
        <v/>
      </c>
      <c r="N72" s="384" t="str">
        <f t="shared" si="19"/>
        <v/>
      </c>
    </row>
    <row r="73" spans="1:14" s="110" customFormat="1" ht="15" x14ac:dyDescent="0.2">
      <c r="B73" s="371"/>
      <c r="C73" s="372"/>
      <c r="D73" s="373"/>
      <c r="E73" s="374"/>
      <c r="F73" s="374"/>
      <c r="G73" s="606"/>
      <c r="H73" s="375"/>
      <c r="I73" s="229" t="str">
        <f t="shared" si="15"/>
        <v/>
      </c>
      <c r="J73" s="230" t="str">
        <f t="shared" si="16"/>
        <v/>
      </c>
      <c r="K73" s="230" t="str">
        <f t="shared" si="17"/>
        <v/>
      </c>
      <c r="L73" s="231" t="str">
        <f t="shared" si="14"/>
        <v/>
      </c>
      <c r="M73" s="232" t="str">
        <f t="shared" si="18"/>
        <v/>
      </c>
      <c r="N73" s="384" t="str">
        <f t="shared" si="19"/>
        <v/>
      </c>
    </row>
    <row r="74" spans="1:14" s="110" customFormat="1" ht="15" x14ac:dyDescent="0.2">
      <c r="B74" s="371"/>
      <c r="C74" s="372"/>
      <c r="D74" s="373"/>
      <c r="E74" s="374"/>
      <c r="F74" s="374"/>
      <c r="G74" s="606"/>
      <c r="H74" s="375"/>
      <c r="I74" s="229" t="str">
        <f t="shared" si="15"/>
        <v/>
      </c>
      <c r="J74" s="230" t="str">
        <f t="shared" si="16"/>
        <v/>
      </c>
      <c r="K74" s="230" t="str">
        <f t="shared" si="17"/>
        <v/>
      </c>
      <c r="L74" s="231" t="str">
        <f t="shared" si="14"/>
        <v/>
      </c>
      <c r="M74" s="232" t="str">
        <f t="shared" si="18"/>
        <v/>
      </c>
      <c r="N74" s="384" t="str">
        <f t="shared" si="19"/>
        <v/>
      </c>
    </row>
    <row r="75" spans="1:14" s="110" customFormat="1" ht="15" x14ac:dyDescent="0.2">
      <c r="B75" s="371"/>
      <c r="C75" s="372"/>
      <c r="D75" s="373"/>
      <c r="E75" s="374"/>
      <c r="F75" s="374"/>
      <c r="G75" s="606"/>
      <c r="H75" s="375"/>
      <c r="I75" s="229" t="str">
        <f t="shared" si="15"/>
        <v/>
      </c>
      <c r="J75" s="230" t="str">
        <f t="shared" si="16"/>
        <v/>
      </c>
      <c r="K75" s="230" t="str">
        <f t="shared" si="17"/>
        <v/>
      </c>
      <c r="L75" s="231" t="str">
        <f t="shared" si="14"/>
        <v/>
      </c>
      <c r="M75" s="232" t="str">
        <f t="shared" si="18"/>
        <v/>
      </c>
      <c r="N75" s="384" t="str">
        <f t="shared" si="19"/>
        <v/>
      </c>
    </row>
    <row r="76" spans="1:14" s="110" customFormat="1" ht="15" x14ac:dyDescent="0.2">
      <c r="B76" s="234"/>
      <c r="C76" s="235"/>
      <c r="D76" s="236"/>
      <c r="E76" s="237"/>
      <c r="F76" s="237"/>
      <c r="G76" s="607"/>
      <c r="H76" s="238"/>
      <c r="I76" s="238"/>
      <c r="J76" s="239"/>
      <c r="K76" s="240"/>
      <c r="L76" s="240"/>
      <c r="M76" s="232" t="str">
        <f t="shared" ref="M76" si="20">IFERROR(ROUND(E76/G76,2),"")</f>
        <v/>
      </c>
      <c r="N76" s="384" t="str">
        <f t="shared" ref="N76" si="21">IFERROR(ROUND(F76/E76,4),"")</f>
        <v/>
      </c>
    </row>
    <row r="77" spans="1:14" s="110" customFormat="1" ht="15.75" thickBot="1" x14ac:dyDescent="0.25">
      <c r="B77" s="241"/>
      <c r="C77" s="242"/>
      <c r="D77" s="243" t="s">
        <v>38</v>
      </c>
      <c r="E77" s="244">
        <f>SUM(E49:E76)</f>
        <v>0</v>
      </c>
      <c r="F77" s="244">
        <f>SUM(F49:F76)</f>
        <v>0</v>
      </c>
      <c r="G77" s="608">
        <f>SUM(G49:G76)</f>
        <v>0</v>
      </c>
      <c r="H77" s="246"/>
      <c r="I77" s="245">
        <f>SUM(I49:I76)</f>
        <v>0</v>
      </c>
      <c r="J77" s="244">
        <f>SUM(J49:J76)</f>
        <v>0</v>
      </c>
      <c r="K77" s="244">
        <f>SUM(K49:K76)</f>
        <v>0</v>
      </c>
      <c r="L77" s="244">
        <f>SUM(L49:L76)</f>
        <v>0</v>
      </c>
      <c r="M77" s="247" t="str">
        <f>IFERROR(ROUND(E77/G77,2),"")</f>
        <v/>
      </c>
      <c r="N77" s="385" t="str">
        <f>IFERROR(ROUND(F77/E77,4),"")</f>
        <v/>
      </c>
    </row>
    <row r="78" spans="1:14" s="110" customFormat="1" ht="15.75" thickBot="1" x14ac:dyDescent="0.25">
      <c r="B78" s="249"/>
      <c r="C78" s="249"/>
      <c r="D78" s="249"/>
      <c r="E78" s="249"/>
      <c r="F78" s="249"/>
      <c r="G78" s="249"/>
      <c r="H78" s="250"/>
      <c r="I78" s="250"/>
      <c r="J78" s="249"/>
      <c r="K78" s="251"/>
      <c r="L78" s="249"/>
      <c r="M78" s="252"/>
      <c r="N78" s="249"/>
    </row>
    <row r="79" spans="1:14" ht="15.75" x14ac:dyDescent="0.25">
      <c r="A79" s="108">
        <v>3</v>
      </c>
      <c r="B79" s="644"/>
      <c r="C79" s="645"/>
      <c r="D79" s="645"/>
      <c r="E79" s="645"/>
      <c r="F79" s="645"/>
      <c r="G79" s="645"/>
      <c r="H79" s="645"/>
      <c r="I79" s="645"/>
      <c r="J79" s="645"/>
      <c r="K79" s="645"/>
      <c r="L79" s="645"/>
      <c r="M79" s="645"/>
      <c r="N79" s="646"/>
    </row>
    <row r="80" spans="1:14" ht="15.75" x14ac:dyDescent="0.25">
      <c r="B80" s="253" t="s">
        <v>162</v>
      </c>
      <c r="C80" s="254"/>
      <c r="D80" s="255"/>
      <c r="E80" s="256"/>
      <c r="F80" s="256"/>
      <c r="G80" s="257"/>
      <c r="H80" s="258"/>
      <c r="I80" s="258"/>
      <c r="J80" s="259"/>
      <c r="K80" s="260"/>
      <c r="L80" s="256"/>
      <c r="M80" s="261"/>
      <c r="N80" s="262"/>
    </row>
    <row r="81" spans="2:14" ht="15.75" x14ac:dyDescent="0.25">
      <c r="B81" s="377"/>
      <c r="C81" s="254"/>
      <c r="D81" s="255"/>
      <c r="E81" s="256"/>
      <c r="F81" s="256"/>
      <c r="G81" s="257"/>
      <c r="H81" s="258"/>
      <c r="I81" s="258"/>
      <c r="J81" s="259"/>
      <c r="K81" s="260"/>
      <c r="L81" s="256"/>
      <c r="M81" s="261"/>
      <c r="N81" s="262"/>
    </row>
    <row r="82" spans="2:14" ht="16.5" thickBot="1" x14ac:dyDescent="0.3">
      <c r="B82" s="204"/>
      <c r="C82" s="205"/>
      <c r="D82" s="206"/>
      <c r="E82" s="207"/>
      <c r="F82" s="207"/>
      <c r="G82" s="207"/>
      <c r="H82" s="208"/>
      <c r="I82" s="208"/>
      <c r="J82" s="209"/>
      <c r="K82" s="210"/>
      <c r="L82" s="205"/>
      <c r="M82" s="211"/>
      <c r="N82" s="212"/>
    </row>
    <row r="83" spans="2:14" ht="15" x14ac:dyDescent="0.2">
      <c r="B83" s="381" t="s">
        <v>144</v>
      </c>
      <c r="C83" s="216" t="s">
        <v>145</v>
      </c>
      <c r="D83" s="216" t="s">
        <v>146</v>
      </c>
      <c r="E83" s="216" t="s">
        <v>147</v>
      </c>
      <c r="F83" s="217" t="s">
        <v>148</v>
      </c>
      <c r="G83" s="216" t="s">
        <v>157</v>
      </c>
      <c r="H83" s="217" t="s">
        <v>149</v>
      </c>
      <c r="I83" s="216" t="s">
        <v>150</v>
      </c>
      <c r="J83" s="218" t="s">
        <v>151</v>
      </c>
      <c r="K83" s="218" t="s">
        <v>158</v>
      </c>
      <c r="L83" s="218" t="s">
        <v>168</v>
      </c>
      <c r="M83" s="219" t="s">
        <v>219</v>
      </c>
      <c r="N83" s="382" t="s">
        <v>220</v>
      </c>
    </row>
    <row r="84" spans="2:14" ht="90" x14ac:dyDescent="0.2">
      <c r="B84" s="220" t="s">
        <v>152</v>
      </c>
      <c r="C84" s="221" t="s">
        <v>264</v>
      </c>
      <c r="D84" s="222" t="s">
        <v>164</v>
      </c>
      <c r="E84" s="600" t="s">
        <v>161</v>
      </c>
      <c r="F84" s="601" t="s">
        <v>154</v>
      </c>
      <c r="G84" s="223" t="s">
        <v>174</v>
      </c>
      <c r="H84" s="223" t="s">
        <v>155</v>
      </c>
      <c r="I84" s="223" t="s">
        <v>261</v>
      </c>
      <c r="J84" s="222" t="s">
        <v>153</v>
      </c>
      <c r="K84" s="222" t="s">
        <v>156</v>
      </c>
      <c r="L84" s="222" t="s">
        <v>159</v>
      </c>
      <c r="M84" s="224" t="s">
        <v>167</v>
      </c>
      <c r="N84" s="222" t="s">
        <v>166</v>
      </c>
    </row>
    <row r="85" spans="2:14" ht="15.75" x14ac:dyDescent="0.25">
      <c r="B85" s="225"/>
      <c r="C85" s="226" t="s">
        <v>162</v>
      </c>
      <c r="D85" s="222" t="s">
        <v>165</v>
      </c>
      <c r="E85" s="227"/>
      <c r="F85" s="228"/>
      <c r="G85" s="605"/>
      <c r="H85" s="223"/>
      <c r="I85" s="223"/>
      <c r="J85" s="222"/>
      <c r="K85" s="222"/>
      <c r="L85" s="222"/>
      <c r="M85" s="224"/>
      <c r="N85" s="222"/>
    </row>
    <row r="86" spans="2:14" s="110" customFormat="1" ht="15" x14ac:dyDescent="0.2">
      <c r="B86" s="371"/>
      <c r="C86" s="372"/>
      <c r="D86" s="373"/>
      <c r="E86" s="374"/>
      <c r="F86" s="374"/>
      <c r="G86" s="606"/>
      <c r="H86" s="375"/>
      <c r="I86" s="229" t="str">
        <f>IF(ISBLANK(G86),"",(ROUND(G86*H86,2)))</f>
        <v/>
      </c>
      <c r="J86" s="230" t="str">
        <f>IF(ISBLANK(E86),"",(ROUND(E86*H86,0)))</f>
        <v/>
      </c>
      <c r="K86" s="230" t="str">
        <f>IF(ISBLANK(F86),"",(ROUND(F86*H86,0)))</f>
        <v/>
      </c>
      <c r="L86" s="231" t="str">
        <f t="shared" ref="L86:L114" si="22">IFERROR(IF(C86="contract labor",J86,(ROUND(J86+K86,0))),"")</f>
        <v/>
      </c>
      <c r="M86" s="232" t="str">
        <f>IFERROR(ROUND(E86/G86,2),"")</f>
        <v/>
      </c>
      <c r="N86" s="384" t="str">
        <f>IFERROR(ROUND(F86/E86,4),"")</f>
        <v/>
      </c>
    </row>
    <row r="87" spans="2:14" s="110" customFormat="1" ht="15" x14ac:dyDescent="0.2">
      <c r="B87" s="371"/>
      <c r="C87" s="372"/>
      <c r="D87" s="373"/>
      <c r="E87" s="374"/>
      <c r="F87" s="374"/>
      <c r="G87" s="606"/>
      <c r="H87" s="375"/>
      <c r="I87" s="229" t="str">
        <f t="shared" ref="I87:I114" si="23">IF(ISBLANK(G87),"",(ROUND(G87*H87,2)))</f>
        <v/>
      </c>
      <c r="J87" s="230" t="str">
        <f t="shared" ref="J87:J114" si="24">IF(ISBLANK(E87),"",(ROUND(E87*H87,0)))</f>
        <v/>
      </c>
      <c r="K87" s="230" t="str">
        <f t="shared" ref="K87:K114" si="25">IF(ISBLANK(F87),"",(ROUND(F87*H87,0)))</f>
        <v/>
      </c>
      <c r="L87" s="231" t="str">
        <f>IFERROR(IF(C87="contract labor",J87,(ROUND(J87+K87,0))),"")</f>
        <v/>
      </c>
      <c r="M87" s="232" t="str">
        <f t="shared" ref="M87:M114" si="26">IFERROR(ROUND(E87/G87,2),"")</f>
        <v/>
      </c>
      <c r="N87" s="384" t="str">
        <f t="shared" ref="N87:N114" si="27">IFERROR(ROUND(F87/E87,4),"")</f>
        <v/>
      </c>
    </row>
    <row r="88" spans="2:14" s="110" customFormat="1" ht="15" x14ac:dyDescent="0.2">
      <c r="B88" s="371"/>
      <c r="C88" s="372"/>
      <c r="D88" s="373"/>
      <c r="E88" s="374"/>
      <c r="F88" s="374"/>
      <c r="G88" s="606"/>
      <c r="H88" s="375"/>
      <c r="I88" s="229" t="str">
        <f t="shared" si="23"/>
        <v/>
      </c>
      <c r="J88" s="230" t="str">
        <f t="shared" si="24"/>
        <v/>
      </c>
      <c r="K88" s="230" t="str">
        <f t="shared" si="25"/>
        <v/>
      </c>
      <c r="L88" s="231" t="str">
        <f t="shared" si="22"/>
        <v/>
      </c>
      <c r="M88" s="232" t="str">
        <f t="shared" si="26"/>
        <v/>
      </c>
      <c r="N88" s="384" t="str">
        <f t="shared" si="27"/>
        <v/>
      </c>
    </row>
    <row r="89" spans="2:14" s="110" customFormat="1" ht="15" x14ac:dyDescent="0.2">
      <c r="B89" s="371"/>
      <c r="C89" s="372"/>
      <c r="D89" s="373"/>
      <c r="E89" s="374"/>
      <c r="F89" s="374"/>
      <c r="G89" s="606"/>
      <c r="H89" s="375"/>
      <c r="I89" s="229" t="str">
        <f t="shared" si="23"/>
        <v/>
      </c>
      <c r="J89" s="230" t="str">
        <f t="shared" si="24"/>
        <v/>
      </c>
      <c r="K89" s="230" t="str">
        <f t="shared" si="25"/>
        <v/>
      </c>
      <c r="L89" s="231" t="str">
        <f t="shared" si="22"/>
        <v/>
      </c>
      <c r="M89" s="232" t="str">
        <f t="shared" si="26"/>
        <v/>
      </c>
      <c r="N89" s="384" t="str">
        <f t="shared" si="27"/>
        <v/>
      </c>
    </row>
    <row r="90" spans="2:14" s="110" customFormat="1" ht="15" x14ac:dyDescent="0.2">
      <c r="B90" s="371"/>
      <c r="C90" s="372"/>
      <c r="D90" s="373"/>
      <c r="E90" s="374"/>
      <c r="F90" s="374"/>
      <c r="G90" s="606"/>
      <c r="H90" s="375"/>
      <c r="I90" s="229" t="str">
        <f t="shared" si="23"/>
        <v/>
      </c>
      <c r="J90" s="230" t="str">
        <f t="shared" si="24"/>
        <v/>
      </c>
      <c r="K90" s="230" t="str">
        <f t="shared" si="25"/>
        <v/>
      </c>
      <c r="L90" s="231" t="str">
        <f t="shared" si="22"/>
        <v/>
      </c>
      <c r="M90" s="232" t="str">
        <f t="shared" si="26"/>
        <v/>
      </c>
      <c r="N90" s="384" t="str">
        <f t="shared" si="27"/>
        <v/>
      </c>
    </row>
    <row r="91" spans="2:14" s="110" customFormat="1" ht="15" x14ac:dyDescent="0.2">
      <c r="B91" s="371"/>
      <c r="C91" s="372"/>
      <c r="D91" s="373"/>
      <c r="E91" s="374"/>
      <c r="F91" s="374"/>
      <c r="G91" s="606"/>
      <c r="H91" s="375"/>
      <c r="I91" s="229" t="str">
        <f t="shared" si="23"/>
        <v/>
      </c>
      <c r="J91" s="230" t="str">
        <f t="shared" si="24"/>
        <v/>
      </c>
      <c r="K91" s="230" t="str">
        <f t="shared" si="25"/>
        <v/>
      </c>
      <c r="L91" s="231" t="str">
        <f t="shared" si="22"/>
        <v/>
      </c>
      <c r="M91" s="232" t="str">
        <f t="shared" si="26"/>
        <v/>
      </c>
      <c r="N91" s="384" t="str">
        <f t="shared" si="27"/>
        <v/>
      </c>
    </row>
    <row r="92" spans="2:14" s="110" customFormat="1" ht="15" x14ac:dyDescent="0.2">
      <c r="B92" s="371"/>
      <c r="C92" s="372"/>
      <c r="D92" s="373"/>
      <c r="E92" s="374"/>
      <c r="F92" s="374"/>
      <c r="G92" s="606"/>
      <c r="H92" s="375"/>
      <c r="I92" s="229" t="str">
        <f t="shared" si="23"/>
        <v/>
      </c>
      <c r="J92" s="230" t="str">
        <f t="shared" si="24"/>
        <v/>
      </c>
      <c r="K92" s="230" t="str">
        <f t="shared" si="25"/>
        <v/>
      </c>
      <c r="L92" s="231" t="str">
        <f t="shared" si="22"/>
        <v/>
      </c>
      <c r="M92" s="232" t="str">
        <f t="shared" si="26"/>
        <v/>
      </c>
      <c r="N92" s="384" t="str">
        <f t="shared" si="27"/>
        <v/>
      </c>
    </row>
    <row r="93" spans="2:14" s="110" customFormat="1" ht="15" x14ac:dyDescent="0.2">
      <c r="B93" s="371"/>
      <c r="C93" s="372"/>
      <c r="D93" s="373"/>
      <c r="E93" s="374"/>
      <c r="F93" s="374"/>
      <c r="G93" s="606"/>
      <c r="H93" s="375"/>
      <c r="I93" s="229" t="str">
        <f t="shared" si="23"/>
        <v/>
      </c>
      <c r="J93" s="230" t="str">
        <f t="shared" si="24"/>
        <v/>
      </c>
      <c r="K93" s="230" t="str">
        <f t="shared" si="25"/>
        <v/>
      </c>
      <c r="L93" s="231" t="str">
        <f t="shared" si="22"/>
        <v/>
      </c>
      <c r="M93" s="232" t="str">
        <f t="shared" si="26"/>
        <v/>
      </c>
      <c r="N93" s="384" t="str">
        <f t="shared" si="27"/>
        <v/>
      </c>
    </row>
    <row r="94" spans="2:14" s="110" customFormat="1" ht="15" x14ac:dyDescent="0.2">
      <c r="B94" s="371"/>
      <c r="C94" s="372"/>
      <c r="D94" s="373"/>
      <c r="E94" s="374"/>
      <c r="F94" s="374"/>
      <c r="G94" s="606"/>
      <c r="H94" s="375"/>
      <c r="I94" s="229" t="str">
        <f t="shared" si="23"/>
        <v/>
      </c>
      <c r="J94" s="230" t="str">
        <f t="shared" si="24"/>
        <v/>
      </c>
      <c r="K94" s="230" t="str">
        <f t="shared" si="25"/>
        <v/>
      </c>
      <c r="L94" s="231" t="str">
        <f t="shared" si="22"/>
        <v/>
      </c>
      <c r="M94" s="232" t="str">
        <f t="shared" si="26"/>
        <v/>
      </c>
      <c r="N94" s="384" t="str">
        <f t="shared" si="27"/>
        <v/>
      </c>
    </row>
    <row r="95" spans="2:14" s="110" customFormat="1" ht="15" x14ac:dyDescent="0.2">
      <c r="B95" s="371"/>
      <c r="C95" s="372"/>
      <c r="D95" s="373"/>
      <c r="E95" s="374"/>
      <c r="F95" s="374"/>
      <c r="G95" s="606"/>
      <c r="H95" s="375"/>
      <c r="I95" s="229" t="str">
        <f t="shared" si="23"/>
        <v/>
      </c>
      <c r="J95" s="230" t="str">
        <f t="shared" si="24"/>
        <v/>
      </c>
      <c r="K95" s="230" t="str">
        <f t="shared" si="25"/>
        <v/>
      </c>
      <c r="L95" s="231" t="str">
        <f t="shared" si="22"/>
        <v/>
      </c>
      <c r="M95" s="232" t="str">
        <f t="shared" si="26"/>
        <v/>
      </c>
      <c r="N95" s="384" t="str">
        <f t="shared" si="27"/>
        <v/>
      </c>
    </row>
    <row r="96" spans="2:14" s="110" customFormat="1" ht="15" x14ac:dyDescent="0.2">
      <c r="B96" s="371"/>
      <c r="C96" s="372"/>
      <c r="D96" s="373"/>
      <c r="E96" s="374"/>
      <c r="F96" s="374"/>
      <c r="G96" s="606"/>
      <c r="H96" s="375"/>
      <c r="I96" s="229" t="str">
        <f t="shared" si="23"/>
        <v/>
      </c>
      <c r="J96" s="230" t="str">
        <f t="shared" si="24"/>
        <v/>
      </c>
      <c r="K96" s="230" t="str">
        <f t="shared" si="25"/>
        <v/>
      </c>
      <c r="L96" s="231" t="str">
        <f t="shared" si="22"/>
        <v/>
      </c>
      <c r="M96" s="232" t="str">
        <f t="shared" si="26"/>
        <v/>
      </c>
      <c r="N96" s="384" t="str">
        <f t="shared" si="27"/>
        <v/>
      </c>
    </row>
    <row r="97" spans="2:14" s="110" customFormat="1" ht="15" x14ac:dyDescent="0.2">
      <c r="B97" s="371"/>
      <c r="C97" s="372"/>
      <c r="D97" s="373"/>
      <c r="E97" s="374"/>
      <c r="F97" s="374"/>
      <c r="G97" s="606"/>
      <c r="H97" s="375"/>
      <c r="I97" s="229" t="str">
        <f t="shared" si="23"/>
        <v/>
      </c>
      <c r="J97" s="230" t="str">
        <f t="shared" si="24"/>
        <v/>
      </c>
      <c r="K97" s="230" t="str">
        <f t="shared" si="25"/>
        <v/>
      </c>
      <c r="L97" s="231" t="str">
        <f t="shared" si="22"/>
        <v/>
      </c>
      <c r="M97" s="232" t="str">
        <f t="shared" si="26"/>
        <v/>
      </c>
      <c r="N97" s="384" t="str">
        <f t="shared" si="27"/>
        <v/>
      </c>
    </row>
    <row r="98" spans="2:14" s="110" customFormat="1" ht="15" x14ac:dyDescent="0.2">
      <c r="B98" s="371"/>
      <c r="C98" s="372"/>
      <c r="D98" s="373"/>
      <c r="E98" s="374"/>
      <c r="F98" s="374"/>
      <c r="G98" s="606"/>
      <c r="H98" s="375"/>
      <c r="I98" s="229" t="str">
        <f t="shared" si="23"/>
        <v/>
      </c>
      <c r="J98" s="230" t="str">
        <f t="shared" si="24"/>
        <v/>
      </c>
      <c r="K98" s="230" t="str">
        <f t="shared" si="25"/>
        <v/>
      </c>
      <c r="L98" s="231" t="str">
        <f t="shared" si="22"/>
        <v/>
      </c>
      <c r="M98" s="232" t="str">
        <f t="shared" si="26"/>
        <v/>
      </c>
      <c r="N98" s="384" t="str">
        <f t="shared" si="27"/>
        <v/>
      </c>
    </row>
    <row r="99" spans="2:14" s="110" customFormat="1" ht="15" x14ac:dyDescent="0.2">
      <c r="B99" s="371"/>
      <c r="C99" s="372"/>
      <c r="D99" s="373"/>
      <c r="E99" s="374"/>
      <c r="F99" s="374"/>
      <c r="G99" s="606"/>
      <c r="H99" s="375"/>
      <c r="I99" s="229" t="str">
        <f t="shared" si="23"/>
        <v/>
      </c>
      <c r="J99" s="230" t="str">
        <f t="shared" si="24"/>
        <v/>
      </c>
      <c r="K99" s="230" t="str">
        <f t="shared" si="25"/>
        <v/>
      </c>
      <c r="L99" s="231" t="str">
        <f t="shared" si="22"/>
        <v/>
      </c>
      <c r="M99" s="232" t="str">
        <f t="shared" si="26"/>
        <v/>
      </c>
      <c r="N99" s="384" t="str">
        <f t="shared" si="27"/>
        <v/>
      </c>
    </row>
    <row r="100" spans="2:14" s="110" customFormat="1" ht="15" x14ac:dyDescent="0.2">
      <c r="B100" s="371"/>
      <c r="C100" s="372"/>
      <c r="D100" s="373"/>
      <c r="E100" s="374"/>
      <c r="F100" s="374"/>
      <c r="G100" s="606"/>
      <c r="H100" s="375"/>
      <c r="I100" s="229" t="str">
        <f t="shared" si="23"/>
        <v/>
      </c>
      <c r="J100" s="230" t="str">
        <f t="shared" si="24"/>
        <v/>
      </c>
      <c r="K100" s="230" t="str">
        <f t="shared" si="25"/>
        <v/>
      </c>
      <c r="L100" s="231" t="str">
        <f t="shared" si="22"/>
        <v/>
      </c>
      <c r="M100" s="232" t="str">
        <f t="shared" si="26"/>
        <v/>
      </c>
      <c r="N100" s="384" t="str">
        <f t="shared" si="27"/>
        <v/>
      </c>
    </row>
    <row r="101" spans="2:14" s="110" customFormat="1" ht="15" x14ac:dyDescent="0.2">
      <c r="B101" s="371"/>
      <c r="C101" s="372"/>
      <c r="D101" s="373"/>
      <c r="E101" s="374"/>
      <c r="F101" s="374"/>
      <c r="G101" s="606"/>
      <c r="H101" s="375"/>
      <c r="I101" s="229" t="str">
        <f t="shared" si="23"/>
        <v/>
      </c>
      <c r="J101" s="230" t="str">
        <f t="shared" si="24"/>
        <v/>
      </c>
      <c r="K101" s="230" t="str">
        <f t="shared" si="25"/>
        <v/>
      </c>
      <c r="L101" s="231" t="str">
        <f t="shared" si="22"/>
        <v/>
      </c>
      <c r="M101" s="232" t="str">
        <f t="shared" si="26"/>
        <v/>
      </c>
      <c r="N101" s="384" t="str">
        <f t="shared" si="27"/>
        <v/>
      </c>
    </row>
    <row r="102" spans="2:14" s="110" customFormat="1" ht="15" x14ac:dyDescent="0.2">
      <c r="B102" s="371"/>
      <c r="C102" s="372"/>
      <c r="D102" s="373"/>
      <c r="E102" s="374"/>
      <c r="F102" s="374"/>
      <c r="G102" s="606"/>
      <c r="H102" s="375"/>
      <c r="I102" s="229" t="str">
        <f t="shared" si="23"/>
        <v/>
      </c>
      <c r="J102" s="230" t="str">
        <f t="shared" si="24"/>
        <v/>
      </c>
      <c r="K102" s="230" t="str">
        <f t="shared" si="25"/>
        <v/>
      </c>
      <c r="L102" s="231" t="str">
        <f t="shared" si="22"/>
        <v/>
      </c>
      <c r="M102" s="232" t="str">
        <f t="shared" si="26"/>
        <v/>
      </c>
      <c r="N102" s="384" t="str">
        <f t="shared" si="27"/>
        <v/>
      </c>
    </row>
    <row r="103" spans="2:14" s="110" customFormat="1" ht="15" x14ac:dyDescent="0.2">
      <c r="B103" s="371"/>
      <c r="C103" s="372"/>
      <c r="D103" s="373"/>
      <c r="E103" s="374"/>
      <c r="F103" s="374"/>
      <c r="G103" s="606"/>
      <c r="H103" s="375"/>
      <c r="I103" s="229" t="str">
        <f t="shared" si="23"/>
        <v/>
      </c>
      <c r="J103" s="230" t="str">
        <f t="shared" si="24"/>
        <v/>
      </c>
      <c r="K103" s="230" t="str">
        <f t="shared" si="25"/>
        <v/>
      </c>
      <c r="L103" s="231" t="str">
        <f t="shared" si="22"/>
        <v/>
      </c>
      <c r="M103" s="232" t="str">
        <f t="shared" si="26"/>
        <v/>
      </c>
      <c r="N103" s="384" t="str">
        <f t="shared" si="27"/>
        <v/>
      </c>
    </row>
    <row r="104" spans="2:14" s="110" customFormat="1" ht="15" x14ac:dyDescent="0.2">
      <c r="B104" s="371"/>
      <c r="C104" s="372"/>
      <c r="D104" s="373"/>
      <c r="E104" s="374"/>
      <c r="F104" s="374"/>
      <c r="G104" s="606"/>
      <c r="H104" s="375"/>
      <c r="I104" s="229" t="str">
        <f t="shared" si="23"/>
        <v/>
      </c>
      <c r="J104" s="230" t="str">
        <f t="shared" si="24"/>
        <v/>
      </c>
      <c r="K104" s="230" t="str">
        <f t="shared" si="25"/>
        <v/>
      </c>
      <c r="L104" s="231" t="str">
        <f t="shared" si="22"/>
        <v/>
      </c>
      <c r="M104" s="232" t="str">
        <f t="shared" si="26"/>
        <v/>
      </c>
      <c r="N104" s="384" t="str">
        <f t="shared" si="27"/>
        <v/>
      </c>
    </row>
    <row r="105" spans="2:14" s="110" customFormat="1" ht="15" x14ac:dyDescent="0.2">
      <c r="B105" s="371"/>
      <c r="C105" s="372"/>
      <c r="D105" s="373"/>
      <c r="E105" s="374"/>
      <c r="F105" s="374"/>
      <c r="G105" s="606"/>
      <c r="H105" s="375"/>
      <c r="I105" s="229" t="str">
        <f t="shared" si="23"/>
        <v/>
      </c>
      <c r="J105" s="230" t="str">
        <f t="shared" si="24"/>
        <v/>
      </c>
      <c r="K105" s="230" t="str">
        <f t="shared" si="25"/>
        <v/>
      </c>
      <c r="L105" s="231" t="str">
        <f t="shared" si="22"/>
        <v/>
      </c>
      <c r="M105" s="232" t="str">
        <f t="shared" si="26"/>
        <v/>
      </c>
      <c r="N105" s="384" t="str">
        <f t="shared" si="27"/>
        <v/>
      </c>
    </row>
    <row r="106" spans="2:14" s="110" customFormat="1" ht="15" x14ac:dyDescent="0.2">
      <c r="B106" s="371"/>
      <c r="C106" s="372"/>
      <c r="D106" s="373"/>
      <c r="E106" s="374"/>
      <c r="F106" s="374"/>
      <c r="G106" s="606"/>
      <c r="H106" s="375"/>
      <c r="I106" s="229" t="str">
        <f t="shared" si="23"/>
        <v/>
      </c>
      <c r="J106" s="230" t="str">
        <f t="shared" si="24"/>
        <v/>
      </c>
      <c r="K106" s="230" t="str">
        <f t="shared" si="25"/>
        <v/>
      </c>
      <c r="L106" s="231" t="str">
        <f t="shared" si="22"/>
        <v/>
      </c>
      <c r="M106" s="232" t="str">
        <f t="shared" si="26"/>
        <v/>
      </c>
      <c r="N106" s="384" t="str">
        <f t="shared" si="27"/>
        <v/>
      </c>
    </row>
    <row r="107" spans="2:14" s="110" customFormat="1" ht="15" x14ac:dyDescent="0.2">
      <c r="B107" s="371"/>
      <c r="C107" s="372"/>
      <c r="D107" s="373"/>
      <c r="E107" s="374"/>
      <c r="F107" s="374"/>
      <c r="G107" s="606"/>
      <c r="H107" s="375"/>
      <c r="I107" s="229" t="str">
        <f t="shared" si="23"/>
        <v/>
      </c>
      <c r="J107" s="230" t="str">
        <f t="shared" si="24"/>
        <v/>
      </c>
      <c r="K107" s="230" t="str">
        <f t="shared" si="25"/>
        <v/>
      </c>
      <c r="L107" s="231" t="str">
        <f t="shared" si="22"/>
        <v/>
      </c>
      <c r="M107" s="232" t="str">
        <f t="shared" si="26"/>
        <v/>
      </c>
      <c r="N107" s="384" t="str">
        <f t="shared" si="27"/>
        <v/>
      </c>
    </row>
    <row r="108" spans="2:14" s="110" customFormat="1" ht="15" x14ac:dyDescent="0.2">
      <c r="B108" s="371"/>
      <c r="C108" s="372"/>
      <c r="D108" s="373"/>
      <c r="E108" s="374"/>
      <c r="F108" s="374"/>
      <c r="G108" s="606"/>
      <c r="H108" s="375"/>
      <c r="I108" s="229" t="str">
        <f t="shared" si="23"/>
        <v/>
      </c>
      <c r="J108" s="230" t="str">
        <f t="shared" si="24"/>
        <v/>
      </c>
      <c r="K108" s="230" t="str">
        <f t="shared" si="25"/>
        <v/>
      </c>
      <c r="L108" s="231" t="str">
        <f t="shared" si="22"/>
        <v/>
      </c>
      <c r="M108" s="232" t="str">
        <f t="shared" si="26"/>
        <v/>
      </c>
      <c r="N108" s="384" t="str">
        <f t="shared" si="27"/>
        <v/>
      </c>
    </row>
    <row r="109" spans="2:14" s="110" customFormat="1" ht="15" x14ac:dyDescent="0.2">
      <c r="B109" s="371"/>
      <c r="C109" s="372"/>
      <c r="D109" s="373"/>
      <c r="E109" s="374"/>
      <c r="F109" s="374"/>
      <c r="G109" s="606"/>
      <c r="H109" s="375"/>
      <c r="I109" s="229" t="str">
        <f t="shared" si="23"/>
        <v/>
      </c>
      <c r="J109" s="230" t="str">
        <f t="shared" si="24"/>
        <v/>
      </c>
      <c r="K109" s="230" t="str">
        <f t="shared" si="25"/>
        <v/>
      </c>
      <c r="L109" s="231" t="str">
        <f t="shared" si="22"/>
        <v/>
      </c>
      <c r="M109" s="232" t="str">
        <f t="shared" si="26"/>
        <v/>
      </c>
      <c r="N109" s="384" t="str">
        <f t="shared" si="27"/>
        <v/>
      </c>
    </row>
    <row r="110" spans="2:14" s="110" customFormat="1" ht="15" x14ac:dyDescent="0.2">
      <c r="B110" s="371"/>
      <c r="C110" s="372"/>
      <c r="D110" s="373"/>
      <c r="E110" s="374"/>
      <c r="F110" s="374"/>
      <c r="G110" s="606"/>
      <c r="H110" s="375"/>
      <c r="I110" s="229" t="str">
        <f t="shared" si="23"/>
        <v/>
      </c>
      <c r="J110" s="230" t="str">
        <f t="shared" si="24"/>
        <v/>
      </c>
      <c r="K110" s="230" t="str">
        <f t="shared" si="25"/>
        <v/>
      </c>
      <c r="L110" s="231" t="str">
        <f t="shared" si="22"/>
        <v/>
      </c>
      <c r="M110" s="232" t="str">
        <f t="shared" si="26"/>
        <v/>
      </c>
      <c r="N110" s="384" t="str">
        <f t="shared" si="27"/>
        <v/>
      </c>
    </row>
    <row r="111" spans="2:14" s="110" customFormat="1" ht="15" x14ac:dyDescent="0.2">
      <c r="B111" s="371"/>
      <c r="C111" s="372"/>
      <c r="D111" s="373"/>
      <c r="E111" s="374"/>
      <c r="F111" s="374"/>
      <c r="G111" s="606"/>
      <c r="H111" s="375"/>
      <c r="I111" s="229" t="str">
        <f t="shared" si="23"/>
        <v/>
      </c>
      <c r="J111" s="230" t="str">
        <f t="shared" si="24"/>
        <v/>
      </c>
      <c r="K111" s="230" t="str">
        <f t="shared" si="25"/>
        <v/>
      </c>
      <c r="L111" s="231" t="str">
        <f t="shared" si="22"/>
        <v/>
      </c>
      <c r="M111" s="232" t="str">
        <f t="shared" si="26"/>
        <v/>
      </c>
      <c r="N111" s="384" t="str">
        <f t="shared" si="27"/>
        <v/>
      </c>
    </row>
    <row r="112" spans="2:14" s="110" customFormat="1" ht="15" x14ac:dyDescent="0.2">
      <c r="B112" s="371"/>
      <c r="C112" s="372"/>
      <c r="D112" s="373"/>
      <c r="E112" s="374"/>
      <c r="F112" s="374"/>
      <c r="G112" s="606"/>
      <c r="H112" s="375"/>
      <c r="I112" s="229" t="str">
        <f t="shared" si="23"/>
        <v/>
      </c>
      <c r="J112" s="230" t="str">
        <f t="shared" si="24"/>
        <v/>
      </c>
      <c r="K112" s="230" t="str">
        <f t="shared" si="25"/>
        <v/>
      </c>
      <c r="L112" s="231" t="str">
        <f t="shared" si="22"/>
        <v/>
      </c>
      <c r="M112" s="232" t="str">
        <f t="shared" si="26"/>
        <v/>
      </c>
      <c r="N112" s="384" t="str">
        <f t="shared" si="27"/>
        <v/>
      </c>
    </row>
    <row r="113" spans="1:14" s="110" customFormat="1" ht="15" x14ac:dyDescent="0.2">
      <c r="B113" s="371"/>
      <c r="C113" s="372"/>
      <c r="D113" s="373"/>
      <c r="E113" s="374"/>
      <c r="F113" s="374"/>
      <c r="G113" s="606"/>
      <c r="H113" s="375"/>
      <c r="I113" s="229" t="str">
        <f t="shared" si="23"/>
        <v/>
      </c>
      <c r="J113" s="230" t="str">
        <f t="shared" si="24"/>
        <v/>
      </c>
      <c r="K113" s="230" t="str">
        <f t="shared" si="25"/>
        <v/>
      </c>
      <c r="L113" s="231" t="str">
        <f t="shared" si="22"/>
        <v/>
      </c>
      <c r="M113" s="232" t="str">
        <f t="shared" si="26"/>
        <v/>
      </c>
      <c r="N113" s="384" t="str">
        <f t="shared" si="27"/>
        <v/>
      </c>
    </row>
    <row r="114" spans="1:14" s="110" customFormat="1" ht="15" x14ac:dyDescent="0.2">
      <c r="B114" s="371"/>
      <c r="C114" s="372"/>
      <c r="D114" s="373"/>
      <c r="E114" s="374"/>
      <c r="F114" s="374"/>
      <c r="G114" s="606"/>
      <c r="H114" s="375"/>
      <c r="I114" s="229" t="str">
        <f t="shared" si="23"/>
        <v/>
      </c>
      <c r="J114" s="230" t="str">
        <f t="shared" si="24"/>
        <v/>
      </c>
      <c r="K114" s="230" t="str">
        <f t="shared" si="25"/>
        <v/>
      </c>
      <c r="L114" s="231" t="str">
        <f t="shared" si="22"/>
        <v/>
      </c>
      <c r="M114" s="232" t="str">
        <f t="shared" si="26"/>
        <v/>
      </c>
      <c r="N114" s="384" t="str">
        <f t="shared" si="27"/>
        <v/>
      </c>
    </row>
    <row r="115" spans="1:14" s="110" customFormat="1" ht="15" x14ac:dyDescent="0.2">
      <c r="B115" s="234"/>
      <c r="C115" s="235"/>
      <c r="D115" s="236"/>
      <c r="E115" s="237"/>
      <c r="F115" s="237"/>
      <c r="G115" s="607"/>
      <c r="H115" s="238"/>
      <c r="I115" s="238"/>
      <c r="J115" s="239"/>
      <c r="K115" s="240"/>
      <c r="L115" s="240"/>
      <c r="M115" s="232" t="str">
        <f t="shared" ref="M115" si="28">IFERROR(ROUND(E115/G115,2),"")</f>
        <v/>
      </c>
      <c r="N115" s="233" t="str">
        <f t="shared" ref="N115" si="29">IFERROR(ROUND(F115/E115,4),"")</f>
        <v/>
      </c>
    </row>
    <row r="116" spans="1:14" s="110" customFormat="1" ht="15.75" thickBot="1" x14ac:dyDescent="0.25">
      <c r="B116" s="241"/>
      <c r="C116" s="242"/>
      <c r="D116" s="243" t="s">
        <v>38</v>
      </c>
      <c r="E116" s="244">
        <f>SUM(E86:E115)</f>
        <v>0</v>
      </c>
      <c r="F116" s="244">
        <f>SUM(F86:F115)</f>
        <v>0</v>
      </c>
      <c r="G116" s="608">
        <f>SUM(G86:G115)</f>
        <v>0</v>
      </c>
      <c r="H116" s="246"/>
      <c r="I116" s="245">
        <f>SUM(I86:I115)</f>
        <v>0</v>
      </c>
      <c r="J116" s="244">
        <f>SUM(J86:J115)</f>
        <v>0</v>
      </c>
      <c r="K116" s="244">
        <f>SUM(K86:K115)</f>
        <v>0</v>
      </c>
      <c r="L116" s="244">
        <f>SUM(L86:L115)</f>
        <v>0</v>
      </c>
      <c r="M116" s="247" t="str">
        <f>IFERROR(ROUND(E116/G116,2),"")</f>
        <v/>
      </c>
      <c r="N116" s="248" t="str">
        <f>IFERROR(ROUND(F116/E116,4),"")</f>
        <v/>
      </c>
    </row>
    <row r="117" spans="1:14" s="110" customFormat="1" ht="15.75" thickBot="1" x14ac:dyDescent="0.25">
      <c r="B117" s="249"/>
      <c r="C117" s="249"/>
      <c r="D117" s="249"/>
      <c r="E117" s="249"/>
      <c r="F117" s="249"/>
      <c r="G117" s="249"/>
      <c r="H117" s="250"/>
      <c r="I117" s="250"/>
      <c r="J117" s="249"/>
      <c r="K117" s="251"/>
      <c r="L117" s="249"/>
      <c r="M117" s="252"/>
      <c r="N117" s="249"/>
    </row>
    <row r="118" spans="1:14" ht="15.75" x14ac:dyDescent="0.25">
      <c r="A118" s="108">
        <v>4</v>
      </c>
      <c r="B118" s="644"/>
      <c r="C118" s="645"/>
      <c r="D118" s="645"/>
      <c r="E118" s="645"/>
      <c r="F118" s="645"/>
      <c r="G118" s="645"/>
      <c r="H118" s="645"/>
      <c r="I118" s="645"/>
      <c r="J118" s="645"/>
      <c r="K118" s="645"/>
      <c r="L118" s="645"/>
      <c r="M118" s="645"/>
      <c r="N118" s="646"/>
    </row>
    <row r="119" spans="1:14" ht="15.75" x14ac:dyDescent="0.25">
      <c r="B119" s="253" t="s">
        <v>162</v>
      </c>
      <c r="C119" s="254"/>
      <c r="D119" s="255"/>
      <c r="E119" s="256"/>
      <c r="F119" s="256"/>
      <c r="G119" s="257"/>
      <c r="H119" s="258"/>
      <c r="I119" s="258"/>
      <c r="J119" s="259"/>
      <c r="K119" s="260"/>
      <c r="L119" s="256"/>
      <c r="M119" s="261"/>
      <c r="N119" s="262"/>
    </row>
    <row r="120" spans="1:14" ht="16.5" thickBot="1" x14ac:dyDescent="0.3">
      <c r="B120" s="377"/>
      <c r="C120" s="263"/>
      <c r="D120" s="264"/>
      <c r="E120" s="205"/>
      <c r="F120" s="205"/>
      <c r="G120" s="265"/>
      <c r="H120" s="208"/>
      <c r="I120" s="208"/>
      <c r="J120" s="209"/>
      <c r="K120" s="266"/>
      <c r="L120" s="205"/>
      <c r="M120" s="211"/>
      <c r="N120" s="212"/>
    </row>
    <row r="121" spans="1:14" ht="16.5" thickBot="1" x14ac:dyDescent="0.3">
      <c r="B121" s="381"/>
      <c r="C121" s="214"/>
      <c r="D121" s="267"/>
      <c r="E121" s="207"/>
      <c r="F121" s="207"/>
      <c r="G121" s="207"/>
      <c r="H121" s="208"/>
      <c r="I121" s="258"/>
      <c r="J121" s="268"/>
      <c r="K121" s="269"/>
      <c r="L121" s="214"/>
      <c r="M121" s="215"/>
      <c r="N121" s="214"/>
    </row>
    <row r="122" spans="1:14" ht="15" x14ac:dyDescent="0.2">
      <c r="B122" s="381" t="s">
        <v>144</v>
      </c>
      <c r="C122" s="216" t="s">
        <v>145</v>
      </c>
      <c r="D122" s="216" t="s">
        <v>146</v>
      </c>
      <c r="E122" s="216" t="s">
        <v>147</v>
      </c>
      <c r="F122" s="217" t="s">
        <v>148</v>
      </c>
      <c r="G122" s="216" t="s">
        <v>157</v>
      </c>
      <c r="H122" s="217" t="s">
        <v>149</v>
      </c>
      <c r="I122" s="216" t="s">
        <v>150</v>
      </c>
      <c r="J122" s="218" t="s">
        <v>151</v>
      </c>
      <c r="K122" s="218" t="s">
        <v>158</v>
      </c>
      <c r="L122" s="218" t="s">
        <v>168</v>
      </c>
      <c r="M122" s="219" t="s">
        <v>219</v>
      </c>
      <c r="N122" s="382" t="s">
        <v>220</v>
      </c>
    </row>
    <row r="123" spans="1:14" ht="90" x14ac:dyDescent="0.2">
      <c r="B123" s="220" t="s">
        <v>152</v>
      </c>
      <c r="C123" s="221" t="s">
        <v>264</v>
      </c>
      <c r="D123" s="222" t="s">
        <v>164</v>
      </c>
      <c r="E123" s="600" t="s">
        <v>161</v>
      </c>
      <c r="F123" s="601" t="s">
        <v>154</v>
      </c>
      <c r="G123" s="223" t="s">
        <v>174</v>
      </c>
      <c r="H123" s="223" t="s">
        <v>155</v>
      </c>
      <c r="I123" s="223" t="s">
        <v>261</v>
      </c>
      <c r="J123" s="222" t="s">
        <v>153</v>
      </c>
      <c r="K123" s="222" t="s">
        <v>156</v>
      </c>
      <c r="L123" s="222" t="s">
        <v>159</v>
      </c>
      <c r="M123" s="224" t="s">
        <v>167</v>
      </c>
      <c r="N123" s="383" t="s">
        <v>166</v>
      </c>
    </row>
    <row r="124" spans="1:14" ht="15.75" x14ac:dyDescent="0.25">
      <c r="B124" s="225"/>
      <c r="C124" s="226" t="s">
        <v>162</v>
      </c>
      <c r="D124" s="222" t="s">
        <v>165</v>
      </c>
      <c r="E124" s="227"/>
      <c r="F124" s="228"/>
      <c r="G124" s="605"/>
      <c r="H124" s="223"/>
      <c r="I124" s="223"/>
      <c r="J124" s="222"/>
      <c r="K124" s="222"/>
      <c r="L124" s="222"/>
      <c r="M124" s="224"/>
      <c r="N124" s="383"/>
    </row>
    <row r="125" spans="1:14" s="110" customFormat="1" ht="15" x14ac:dyDescent="0.2">
      <c r="B125" s="371"/>
      <c r="C125" s="372"/>
      <c r="D125" s="373"/>
      <c r="E125" s="374"/>
      <c r="F125" s="374"/>
      <c r="G125" s="606"/>
      <c r="H125" s="375"/>
      <c r="I125" s="229" t="str">
        <f t="shared" ref="I125:I153" si="30">IF(ISBLANK(G125),"",(ROUND(G125*H125,2)))</f>
        <v/>
      </c>
      <c r="J125" s="230" t="str">
        <f>IF(ISBLANK(E125),"",(ROUND(E125*H125,0)))</f>
        <v/>
      </c>
      <c r="K125" s="230" t="str">
        <f>IF(ISBLANK(F125),"",(ROUND(F125*H125,0)))</f>
        <v/>
      </c>
      <c r="L125" s="231" t="str">
        <f t="shared" ref="L125:L153" si="31">IFERROR(IF(C125="contract labor",J125,(ROUND(J125+K125,0))),"")</f>
        <v/>
      </c>
      <c r="M125" s="232" t="str">
        <f>IFERROR(ROUND(E125/G125,2),"")</f>
        <v/>
      </c>
      <c r="N125" s="384" t="str">
        <f>IFERROR(ROUND(F125/E125,4),"")</f>
        <v/>
      </c>
    </row>
    <row r="126" spans="1:14" s="110" customFormat="1" ht="15" x14ac:dyDescent="0.2">
      <c r="B126" s="371"/>
      <c r="C126" s="372"/>
      <c r="D126" s="373"/>
      <c r="E126" s="374"/>
      <c r="F126" s="374"/>
      <c r="G126" s="606"/>
      <c r="H126" s="375"/>
      <c r="I126" s="229" t="str">
        <f t="shared" si="30"/>
        <v/>
      </c>
      <c r="J126" s="230" t="str">
        <f t="shared" ref="J126:J153" si="32">IF(ISBLANK(E126),"",(ROUND(E126*H126,0)))</f>
        <v/>
      </c>
      <c r="K126" s="230" t="str">
        <f t="shared" ref="K126:K153" si="33">IF(ISBLANK(F126),"",(ROUND(F126*H126,0)))</f>
        <v/>
      </c>
      <c r="L126" s="231" t="str">
        <f t="shared" si="31"/>
        <v/>
      </c>
      <c r="M126" s="232" t="str">
        <f t="shared" ref="M126:M153" si="34">IFERROR(ROUND(E126/G126,2),"")</f>
        <v/>
      </c>
      <c r="N126" s="384" t="str">
        <f t="shared" ref="N126:N153" si="35">IFERROR(ROUND(F126/E126,4),"")</f>
        <v/>
      </c>
    </row>
    <row r="127" spans="1:14" s="110" customFormat="1" ht="15" x14ac:dyDescent="0.2">
      <c r="B127" s="371"/>
      <c r="C127" s="372"/>
      <c r="D127" s="373"/>
      <c r="E127" s="374"/>
      <c r="F127" s="374"/>
      <c r="G127" s="606"/>
      <c r="H127" s="375"/>
      <c r="I127" s="229" t="str">
        <f t="shared" si="30"/>
        <v/>
      </c>
      <c r="J127" s="230" t="str">
        <f t="shared" si="32"/>
        <v/>
      </c>
      <c r="K127" s="230" t="str">
        <f t="shared" si="33"/>
        <v/>
      </c>
      <c r="L127" s="231" t="str">
        <f t="shared" si="31"/>
        <v/>
      </c>
      <c r="M127" s="232" t="str">
        <f t="shared" si="34"/>
        <v/>
      </c>
      <c r="N127" s="384" t="str">
        <f t="shared" si="35"/>
        <v/>
      </c>
    </row>
    <row r="128" spans="1:14" s="110" customFormat="1" ht="15" x14ac:dyDescent="0.2">
      <c r="B128" s="371"/>
      <c r="C128" s="372"/>
      <c r="D128" s="373"/>
      <c r="E128" s="374"/>
      <c r="F128" s="374"/>
      <c r="G128" s="606"/>
      <c r="H128" s="375"/>
      <c r="I128" s="229" t="str">
        <f t="shared" si="30"/>
        <v/>
      </c>
      <c r="J128" s="230" t="str">
        <f t="shared" si="32"/>
        <v/>
      </c>
      <c r="K128" s="230" t="str">
        <f t="shared" si="33"/>
        <v/>
      </c>
      <c r="L128" s="231" t="str">
        <f t="shared" si="31"/>
        <v/>
      </c>
      <c r="M128" s="232" t="str">
        <f t="shared" si="34"/>
        <v/>
      </c>
      <c r="N128" s="384" t="str">
        <f t="shared" si="35"/>
        <v/>
      </c>
    </row>
    <row r="129" spans="2:14" s="110" customFormat="1" ht="15" x14ac:dyDescent="0.2">
      <c r="B129" s="371"/>
      <c r="C129" s="372"/>
      <c r="D129" s="373"/>
      <c r="E129" s="374"/>
      <c r="F129" s="374"/>
      <c r="G129" s="606"/>
      <c r="H129" s="375"/>
      <c r="I129" s="229" t="str">
        <f t="shared" si="30"/>
        <v/>
      </c>
      <c r="J129" s="230" t="str">
        <f t="shared" si="32"/>
        <v/>
      </c>
      <c r="K129" s="230" t="str">
        <f t="shared" si="33"/>
        <v/>
      </c>
      <c r="L129" s="231" t="str">
        <f t="shared" si="31"/>
        <v/>
      </c>
      <c r="M129" s="232" t="str">
        <f t="shared" si="34"/>
        <v/>
      </c>
      <c r="N129" s="384" t="str">
        <f t="shared" si="35"/>
        <v/>
      </c>
    </row>
    <row r="130" spans="2:14" s="110" customFormat="1" ht="15" x14ac:dyDescent="0.2">
      <c r="B130" s="371"/>
      <c r="C130" s="372"/>
      <c r="D130" s="373"/>
      <c r="E130" s="374"/>
      <c r="F130" s="374"/>
      <c r="G130" s="606"/>
      <c r="H130" s="375"/>
      <c r="I130" s="229" t="str">
        <f t="shared" si="30"/>
        <v/>
      </c>
      <c r="J130" s="230" t="str">
        <f t="shared" si="32"/>
        <v/>
      </c>
      <c r="K130" s="230" t="str">
        <f t="shared" si="33"/>
        <v/>
      </c>
      <c r="L130" s="231" t="str">
        <f t="shared" si="31"/>
        <v/>
      </c>
      <c r="M130" s="232" t="str">
        <f t="shared" si="34"/>
        <v/>
      </c>
      <c r="N130" s="384" t="str">
        <f t="shared" si="35"/>
        <v/>
      </c>
    </row>
    <row r="131" spans="2:14" s="110" customFormat="1" ht="15" x14ac:dyDescent="0.2">
      <c r="B131" s="371"/>
      <c r="C131" s="372"/>
      <c r="D131" s="373"/>
      <c r="E131" s="374"/>
      <c r="F131" s="374"/>
      <c r="G131" s="606"/>
      <c r="H131" s="375"/>
      <c r="I131" s="229" t="str">
        <f t="shared" si="30"/>
        <v/>
      </c>
      <c r="J131" s="230" t="str">
        <f t="shared" si="32"/>
        <v/>
      </c>
      <c r="K131" s="230" t="str">
        <f t="shared" si="33"/>
        <v/>
      </c>
      <c r="L131" s="231" t="str">
        <f t="shared" si="31"/>
        <v/>
      </c>
      <c r="M131" s="232" t="str">
        <f t="shared" si="34"/>
        <v/>
      </c>
      <c r="N131" s="384" t="str">
        <f t="shared" si="35"/>
        <v/>
      </c>
    </row>
    <row r="132" spans="2:14" s="110" customFormat="1" ht="15" x14ac:dyDescent="0.2">
      <c r="B132" s="371"/>
      <c r="C132" s="372"/>
      <c r="D132" s="373"/>
      <c r="E132" s="374"/>
      <c r="F132" s="374"/>
      <c r="G132" s="606"/>
      <c r="H132" s="375"/>
      <c r="I132" s="229" t="str">
        <f t="shared" si="30"/>
        <v/>
      </c>
      <c r="J132" s="230" t="str">
        <f t="shared" si="32"/>
        <v/>
      </c>
      <c r="K132" s="230" t="str">
        <f t="shared" si="33"/>
        <v/>
      </c>
      <c r="L132" s="231" t="str">
        <f t="shared" si="31"/>
        <v/>
      </c>
      <c r="M132" s="232" t="str">
        <f t="shared" si="34"/>
        <v/>
      </c>
      <c r="N132" s="384" t="str">
        <f t="shared" si="35"/>
        <v/>
      </c>
    </row>
    <row r="133" spans="2:14" s="110" customFormat="1" ht="15" x14ac:dyDescent="0.2">
      <c r="B133" s="371"/>
      <c r="C133" s="372"/>
      <c r="D133" s="373"/>
      <c r="E133" s="374"/>
      <c r="F133" s="374"/>
      <c r="G133" s="606"/>
      <c r="H133" s="375"/>
      <c r="I133" s="229" t="str">
        <f t="shared" si="30"/>
        <v/>
      </c>
      <c r="J133" s="230" t="str">
        <f t="shared" si="32"/>
        <v/>
      </c>
      <c r="K133" s="230" t="str">
        <f t="shared" si="33"/>
        <v/>
      </c>
      <c r="L133" s="231" t="str">
        <f t="shared" si="31"/>
        <v/>
      </c>
      <c r="M133" s="232" t="str">
        <f t="shared" si="34"/>
        <v/>
      </c>
      <c r="N133" s="384" t="str">
        <f t="shared" si="35"/>
        <v/>
      </c>
    </row>
    <row r="134" spans="2:14" s="110" customFormat="1" ht="15" x14ac:dyDescent="0.2">
      <c r="B134" s="371"/>
      <c r="C134" s="372"/>
      <c r="D134" s="373"/>
      <c r="E134" s="374"/>
      <c r="F134" s="374"/>
      <c r="G134" s="606"/>
      <c r="H134" s="375"/>
      <c r="I134" s="229" t="str">
        <f t="shared" si="30"/>
        <v/>
      </c>
      <c r="J134" s="230" t="str">
        <f t="shared" si="32"/>
        <v/>
      </c>
      <c r="K134" s="230" t="str">
        <f t="shared" si="33"/>
        <v/>
      </c>
      <c r="L134" s="231" t="str">
        <f t="shared" si="31"/>
        <v/>
      </c>
      <c r="M134" s="232" t="str">
        <f t="shared" si="34"/>
        <v/>
      </c>
      <c r="N134" s="384" t="str">
        <f t="shared" si="35"/>
        <v/>
      </c>
    </row>
    <row r="135" spans="2:14" s="110" customFormat="1" ht="15" x14ac:dyDescent="0.2">
      <c r="B135" s="371"/>
      <c r="C135" s="372"/>
      <c r="D135" s="373"/>
      <c r="E135" s="374"/>
      <c r="F135" s="374"/>
      <c r="G135" s="606"/>
      <c r="H135" s="375"/>
      <c r="I135" s="229" t="str">
        <f t="shared" si="30"/>
        <v/>
      </c>
      <c r="J135" s="230" t="str">
        <f t="shared" si="32"/>
        <v/>
      </c>
      <c r="K135" s="230" t="str">
        <f t="shared" si="33"/>
        <v/>
      </c>
      <c r="L135" s="231" t="str">
        <f t="shared" si="31"/>
        <v/>
      </c>
      <c r="M135" s="232" t="str">
        <f t="shared" si="34"/>
        <v/>
      </c>
      <c r="N135" s="384" t="str">
        <f t="shared" si="35"/>
        <v/>
      </c>
    </row>
    <row r="136" spans="2:14" s="110" customFormat="1" ht="15" x14ac:dyDescent="0.2">
      <c r="B136" s="371"/>
      <c r="C136" s="372"/>
      <c r="D136" s="373"/>
      <c r="E136" s="374"/>
      <c r="F136" s="374"/>
      <c r="G136" s="606"/>
      <c r="H136" s="375"/>
      <c r="I136" s="229" t="str">
        <f t="shared" si="30"/>
        <v/>
      </c>
      <c r="J136" s="230" t="str">
        <f t="shared" si="32"/>
        <v/>
      </c>
      <c r="K136" s="230" t="str">
        <f t="shared" si="33"/>
        <v/>
      </c>
      <c r="L136" s="231" t="str">
        <f t="shared" si="31"/>
        <v/>
      </c>
      <c r="M136" s="232" t="str">
        <f t="shared" si="34"/>
        <v/>
      </c>
      <c r="N136" s="384" t="str">
        <f t="shared" si="35"/>
        <v/>
      </c>
    </row>
    <row r="137" spans="2:14" s="110" customFormat="1" ht="15" x14ac:dyDescent="0.2">
      <c r="B137" s="371"/>
      <c r="C137" s="372"/>
      <c r="D137" s="373"/>
      <c r="E137" s="374"/>
      <c r="F137" s="374"/>
      <c r="G137" s="606"/>
      <c r="H137" s="375"/>
      <c r="I137" s="229" t="str">
        <f t="shared" si="30"/>
        <v/>
      </c>
      <c r="J137" s="230" t="str">
        <f t="shared" si="32"/>
        <v/>
      </c>
      <c r="K137" s="230" t="str">
        <f t="shared" si="33"/>
        <v/>
      </c>
      <c r="L137" s="231" t="str">
        <f t="shared" si="31"/>
        <v/>
      </c>
      <c r="M137" s="232" t="str">
        <f t="shared" si="34"/>
        <v/>
      </c>
      <c r="N137" s="384" t="str">
        <f t="shared" si="35"/>
        <v/>
      </c>
    </row>
    <row r="138" spans="2:14" s="110" customFormat="1" ht="15" x14ac:dyDescent="0.2">
      <c r="B138" s="371"/>
      <c r="C138" s="372"/>
      <c r="D138" s="373"/>
      <c r="E138" s="374"/>
      <c r="F138" s="374"/>
      <c r="G138" s="606"/>
      <c r="H138" s="375"/>
      <c r="I138" s="229" t="str">
        <f t="shared" si="30"/>
        <v/>
      </c>
      <c r="J138" s="230" t="str">
        <f t="shared" si="32"/>
        <v/>
      </c>
      <c r="K138" s="230" t="str">
        <f t="shared" si="33"/>
        <v/>
      </c>
      <c r="L138" s="231" t="str">
        <f t="shared" si="31"/>
        <v/>
      </c>
      <c r="M138" s="232" t="str">
        <f t="shared" si="34"/>
        <v/>
      </c>
      <c r="N138" s="384" t="str">
        <f t="shared" si="35"/>
        <v/>
      </c>
    </row>
    <row r="139" spans="2:14" s="110" customFormat="1" ht="15" x14ac:dyDescent="0.2">
      <c r="B139" s="371"/>
      <c r="C139" s="372"/>
      <c r="D139" s="373"/>
      <c r="E139" s="374"/>
      <c r="F139" s="374"/>
      <c r="G139" s="606"/>
      <c r="H139" s="375"/>
      <c r="I139" s="229" t="str">
        <f t="shared" si="30"/>
        <v/>
      </c>
      <c r="J139" s="230" t="str">
        <f t="shared" si="32"/>
        <v/>
      </c>
      <c r="K139" s="230" t="str">
        <f t="shared" si="33"/>
        <v/>
      </c>
      <c r="L139" s="231" t="str">
        <f t="shared" si="31"/>
        <v/>
      </c>
      <c r="M139" s="232" t="str">
        <f t="shared" si="34"/>
        <v/>
      </c>
      <c r="N139" s="384" t="str">
        <f t="shared" si="35"/>
        <v/>
      </c>
    </row>
    <row r="140" spans="2:14" s="110" customFormat="1" ht="15" x14ac:dyDescent="0.2">
      <c r="B140" s="371"/>
      <c r="C140" s="372"/>
      <c r="D140" s="373"/>
      <c r="E140" s="374"/>
      <c r="F140" s="374"/>
      <c r="G140" s="606"/>
      <c r="H140" s="375"/>
      <c r="I140" s="229" t="str">
        <f t="shared" si="30"/>
        <v/>
      </c>
      <c r="J140" s="230" t="str">
        <f t="shared" si="32"/>
        <v/>
      </c>
      <c r="K140" s="230" t="str">
        <f t="shared" si="33"/>
        <v/>
      </c>
      <c r="L140" s="231" t="str">
        <f t="shared" si="31"/>
        <v/>
      </c>
      <c r="M140" s="232" t="str">
        <f t="shared" si="34"/>
        <v/>
      </c>
      <c r="N140" s="384" t="str">
        <f t="shared" si="35"/>
        <v/>
      </c>
    </row>
    <row r="141" spans="2:14" s="110" customFormat="1" ht="15" x14ac:dyDescent="0.2">
      <c r="B141" s="371"/>
      <c r="C141" s="372"/>
      <c r="D141" s="373"/>
      <c r="E141" s="374"/>
      <c r="F141" s="374"/>
      <c r="G141" s="606"/>
      <c r="H141" s="375"/>
      <c r="I141" s="229" t="str">
        <f t="shared" si="30"/>
        <v/>
      </c>
      <c r="J141" s="230" t="str">
        <f t="shared" si="32"/>
        <v/>
      </c>
      <c r="K141" s="230" t="str">
        <f t="shared" si="33"/>
        <v/>
      </c>
      <c r="L141" s="231" t="str">
        <f t="shared" si="31"/>
        <v/>
      </c>
      <c r="M141" s="232" t="str">
        <f t="shared" si="34"/>
        <v/>
      </c>
      <c r="N141" s="384" t="str">
        <f t="shared" si="35"/>
        <v/>
      </c>
    </row>
    <row r="142" spans="2:14" s="110" customFormat="1" ht="15" x14ac:dyDescent="0.2">
      <c r="B142" s="371"/>
      <c r="C142" s="372"/>
      <c r="D142" s="373"/>
      <c r="E142" s="374"/>
      <c r="F142" s="374"/>
      <c r="G142" s="606"/>
      <c r="H142" s="375"/>
      <c r="I142" s="229" t="str">
        <f t="shared" si="30"/>
        <v/>
      </c>
      <c r="J142" s="230" t="str">
        <f t="shared" si="32"/>
        <v/>
      </c>
      <c r="K142" s="230" t="str">
        <f t="shared" si="33"/>
        <v/>
      </c>
      <c r="L142" s="231" t="str">
        <f t="shared" si="31"/>
        <v/>
      </c>
      <c r="M142" s="232" t="str">
        <f t="shared" si="34"/>
        <v/>
      </c>
      <c r="N142" s="384" t="str">
        <f t="shared" si="35"/>
        <v/>
      </c>
    </row>
    <row r="143" spans="2:14" s="110" customFormat="1" ht="15" x14ac:dyDescent="0.2">
      <c r="B143" s="371"/>
      <c r="C143" s="372"/>
      <c r="D143" s="373"/>
      <c r="E143" s="374"/>
      <c r="F143" s="374"/>
      <c r="G143" s="606"/>
      <c r="H143" s="375"/>
      <c r="I143" s="229" t="str">
        <f t="shared" si="30"/>
        <v/>
      </c>
      <c r="J143" s="230" t="str">
        <f t="shared" si="32"/>
        <v/>
      </c>
      <c r="K143" s="230" t="str">
        <f t="shared" si="33"/>
        <v/>
      </c>
      <c r="L143" s="231" t="str">
        <f t="shared" si="31"/>
        <v/>
      </c>
      <c r="M143" s="232" t="str">
        <f t="shared" si="34"/>
        <v/>
      </c>
      <c r="N143" s="384" t="str">
        <f t="shared" si="35"/>
        <v/>
      </c>
    </row>
    <row r="144" spans="2:14" s="110" customFormat="1" ht="15" x14ac:dyDescent="0.2">
      <c r="B144" s="371"/>
      <c r="C144" s="372"/>
      <c r="D144" s="373"/>
      <c r="E144" s="374"/>
      <c r="F144" s="374"/>
      <c r="G144" s="606"/>
      <c r="H144" s="375"/>
      <c r="I144" s="229" t="str">
        <f t="shared" si="30"/>
        <v/>
      </c>
      <c r="J144" s="230" t="str">
        <f t="shared" si="32"/>
        <v/>
      </c>
      <c r="K144" s="230" t="str">
        <f t="shared" si="33"/>
        <v/>
      </c>
      <c r="L144" s="231" t="str">
        <f t="shared" si="31"/>
        <v/>
      </c>
      <c r="M144" s="232" t="str">
        <f t="shared" si="34"/>
        <v/>
      </c>
      <c r="N144" s="384" t="str">
        <f t="shared" si="35"/>
        <v/>
      </c>
    </row>
    <row r="145" spans="1:14" s="110" customFormat="1" ht="15" x14ac:dyDescent="0.2">
      <c r="B145" s="371"/>
      <c r="C145" s="372"/>
      <c r="D145" s="373"/>
      <c r="E145" s="374"/>
      <c r="F145" s="374"/>
      <c r="G145" s="606"/>
      <c r="H145" s="375"/>
      <c r="I145" s="229" t="str">
        <f t="shared" si="30"/>
        <v/>
      </c>
      <c r="J145" s="230" t="str">
        <f t="shared" si="32"/>
        <v/>
      </c>
      <c r="K145" s="230" t="str">
        <f t="shared" si="33"/>
        <v/>
      </c>
      <c r="L145" s="231" t="str">
        <f t="shared" si="31"/>
        <v/>
      </c>
      <c r="M145" s="232" t="str">
        <f t="shared" si="34"/>
        <v/>
      </c>
      <c r="N145" s="384" t="str">
        <f t="shared" si="35"/>
        <v/>
      </c>
    </row>
    <row r="146" spans="1:14" s="110" customFormat="1" ht="15" x14ac:dyDescent="0.2">
      <c r="B146" s="371"/>
      <c r="C146" s="372"/>
      <c r="D146" s="373"/>
      <c r="E146" s="374"/>
      <c r="F146" s="374"/>
      <c r="G146" s="606"/>
      <c r="H146" s="375"/>
      <c r="I146" s="229" t="str">
        <f t="shared" si="30"/>
        <v/>
      </c>
      <c r="J146" s="230" t="str">
        <f t="shared" si="32"/>
        <v/>
      </c>
      <c r="K146" s="230" t="str">
        <f t="shared" si="33"/>
        <v/>
      </c>
      <c r="L146" s="231" t="str">
        <f t="shared" si="31"/>
        <v/>
      </c>
      <c r="M146" s="232" t="str">
        <f t="shared" si="34"/>
        <v/>
      </c>
      <c r="N146" s="384" t="str">
        <f t="shared" si="35"/>
        <v/>
      </c>
    </row>
    <row r="147" spans="1:14" s="110" customFormat="1" ht="15" x14ac:dyDescent="0.2">
      <c r="B147" s="371"/>
      <c r="C147" s="372"/>
      <c r="D147" s="373"/>
      <c r="E147" s="374"/>
      <c r="F147" s="374"/>
      <c r="G147" s="606"/>
      <c r="H147" s="375"/>
      <c r="I147" s="229" t="str">
        <f t="shared" si="30"/>
        <v/>
      </c>
      <c r="J147" s="230" t="str">
        <f t="shared" si="32"/>
        <v/>
      </c>
      <c r="K147" s="230" t="str">
        <f t="shared" si="33"/>
        <v/>
      </c>
      <c r="L147" s="231" t="str">
        <f t="shared" si="31"/>
        <v/>
      </c>
      <c r="M147" s="232" t="str">
        <f t="shared" si="34"/>
        <v/>
      </c>
      <c r="N147" s="384" t="str">
        <f t="shared" si="35"/>
        <v/>
      </c>
    </row>
    <row r="148" spans="1:14" s="110" customFormat="1" ht="15" x14ac:dyDescent="0.2">
      <c r="B148" s="371"/>
      <c r="C148" s="372"/>
      <c r="D148" s="373"/>
      <c r="E148" s="374"/>
      <c r="F148" s="374"/>
      <c r="G148" s="606"/>
      <c r="H148" s="375"/>
      <c r="I148" s="229" t="str">
        <f t="shared" si="30"/>
        <v/>
      </c>
      <c r="J148" s="230" t="str">
        <f t="shared" si="32"/>
        <v/>
      </c>
      <c r="K148" s="230" t="str">
        <f t="shared" si="33"/>
        <v/>
      </c>
      <c r="L148" s="231" t="str">
        <f t="shared" si="31"/>
        <v/>
      </c>
      <c r="M148" s="232" t="str">
        <f t="shared" si="34"/>
        <v/>
      </c>
      <c r="N148" s="384" t="str">
        <f t="shared" si="35"/>
        <v/>
      </c>
    </row>
    <row r="149" spans="1:14" s="110" customFormat="1" ht="15" x14ac:dyDescent="0.2">
      <c r="B149" s="371"/>
      <c r="C149" s="372"/>
      <c r="D149" s="373"/>
      <c r="E149" s="374"/>
      <c r="F149" s="374"/>
      <c r="G149" s="606"/>
      <c r="H149" s="375"/>
      <c r="I149" s="229" t="str">
        <f t="shared" si="30"/>
        <v/>
      </c>
      <c r="J149" s="230" t="str">
        <f t="shared" si="32"/>
        <v/>
      </c>
      <c r="K149" s="230" t="str">
        <f t="shared" si="33"/>
        <v/>
      </c>
      <c r="L149" s="231" t="str">
        <f t="shared" si="31"/>
        <v/>
      </c>
      <c r="M149" s="232" t="str">
        <f t="shared" si="34"/>
        <v/>
      </c>
      <c r="N149" s="384" t="str">
        <f t="shared" si="35"/>
        <v/>
      </c>
    </row>
    <row r="150" spans="1:14" s="110" customFormat="1" ht="15" x14ac:dyDescent="0.2">
      <c r="B150" s="371"/>
      <c r="C150" s="372"/>
      <c r="D150" s="373"/>
      <c r="E150" s="374"/>
      <c r="F150" s="374"/>
      <c r="G150" s="606"/>
      <c r="H150" s="375"/>
      <c r="I150" s="229" t="str">
        <f t="shared" si="30"/>
        <v/>
      </c>
      <c r="J150" s="230" t="str">
        <f t="shared" si="32"/>
        <v/>
      </c>
      <c r="K150" s="230" t="str">
        <f t="shared" si="33"/>
        <v/>
      </c>
      <c r="L150" s="231" t="str">
        <f t="shared" si="31"/>
        <v/>
      </c>
      <c r="M150" s="232" t="str">
        <f t="shared" si="34"/>
        <v/>
      </c>
      <c r="N150" s="384" t="str">
        <f t="shared" si="35"/>
        <v/>
      </c>
    </row>
    <row r="151" spans="1:14" s="110" customFormat="1" ht="15" x14ac:dyDescent="0.2">
      <c r="B151" s="371"/>
      <c r="C151" s="372"/>
      <c r="D151" s="373"/>
      <c r="E151" s="374"/>
      <c r="F151" s="374"/>
      <c r="G151" s="606"/>
      <c r="H151" s="375"/>
      <c r="I151" s="229" t="str">
        <f t="shared" si="30"/>
        <v/>
      </c>
      <c r="J151" s="230" t="str">
        <f t="shared" si="32"/>
        <v/>
      </c>
      <c r="K151" s="230" t="str">
        <f t="shared" si="33"/>
        <v/>
      </c>
      <c r="L151" s="231" t="str">
        <f t="shared" si="31"/>
        <v/>
      </c>
      <c r="M151" s="232" t="str">
        <f t="shared" si="34"/>
        <v/>
      </c>
      <c r="N151" s="384" t="str">
        <f t="shared" si="35"/>
        <v/>
      </c>
    </row>
    <row r="152" spans="1:14" s="110" customFormat="1" ht="15" x14ac:dyDescent="0.2">
      <c r="B152" s="371"/>
      <c r="C152" s="372"/>
      <c r="D152" s="373"/>
      <c r="E152" s="374"/>
      <c r="F152" s="374"/>
      <c r="G152" s="606"/>
      <c r="H152" s="375"/>
      <c r="I152" s="229" t="str">
        <f t="shared" si="30"/>
        <v/>
      </c>
      <c r="J152" s="230" t="str">
        <f t="shared" si="32"/>
        <v/>
      </c>
      <c r="K152" s="230" t="str">
        <f t="shared" si="33"/>
        <v/>
      </c>
      <c r="L152" s="231" t="str">
        <f t="shared" si="31"/>
        <v/>
      </c>
      <c r="M152" s="232" t="str">
        <f t="shared" si="34"/>
        <v/>
      </c>
      <c r="N152" s="384" t="str">
        <f t="shared" si="35"/>
        <v/>
      </c>
    </row>
    <row r="153" spans="1:14" s="110" customFormat="1" ht="15" x14ac:dyDescent="0.2">
      <c r="B153" s="371"/>
      <c r="C153" s="372"/>
      <c r="D153" s="373"/>
      <c r="E153" s="374"/>
      <c r="F153" s="374"/>
      <c r="G153" s="606"/>
      <c r="H153" s="375"/>
      <c r="I153" s="229" t="str">
        <f t="shared" si="30"/>
        <v/>
      </c>
      <c r="J153" s="230" t="str">
        <f t="shared" si="32"/>
        <v/>
      </c>
      <c r="K153" s="230" t="str">
        <f t="shared" si="33"/>
        <v/>
      </c>
      <c r="L153" s="231" t="str">
        <f t="shared" si="31"/>
        <v/>
      </c>
      <c r="M153" s="232" t="str">
        <f t="shared" si="34"/>
        <v/>
      </c>
      <c r="N153" s="384" t="str">
        <f t="shared" si="35"/>
        <v/>
      </c>
    </row>
    <row r="154" spans="1:14" s="110" customFormat="1" ht="15" x14ac:dyDescent="0.2">
      <c r="B154" s="234"/>
      <c r="C154" s="235"/>
      <c r="D154" s="236"/>
      <c r="E154" s="237"/>
      <c r="F154" s="237"/>
      <c r="G154" s="607"/>
      <c r="H154" s="238"/>
      <c r="I154" s="238"/>
      <c r="J154" s="239"/>
      <c r="K154" s="240"/>
      <c r="L154" s="240"/>
      <c r="M154" s="232" t="str">
        <f t="shared" ref="M154" si="36">IFERROR(ROUND(E154/G154,2),"")</f>
        <v/>
      </c>
      <c r="N154" s="384" t="str">
        <f t="shared" ref="N154" si="37">IFERROR(ROUND(F154/E154,4),"")</f>
        <v/>
      </c>
    </row>
    <row r="155" spans="1:14" s="110" customFormat="1" ht="15.75" thickBot="1" x14ac:dyDescent="0.25">
      <c r="B155" s="241"/>
      <c r="C155" s="242"/>
      <c r="D155" s="243" t="s">
        <v>38</v>
      </c>
      <c r="E155" s="244">
        <f>SUM(E125:E154)</f>
        <v>0</v>
      </c>
      <c r="F155" s="244">
        <f>SUM(F125:F154)</f>
        <v>0</v>
      </c>
      <c r="G155" s="608">
        <f>SUM(G125:G154)</f>
        <v>0</v>
      </c>
      <c r="H155" s="246"/>
      <c r="I155" s="245">
        <f>SUM(I125:I154)</f>
        <v>0</v>
      </c>
      <c r="J155" s="244">
        <f>SUM(J125:J154)</f>
        <v>0</v>
      </c>
      <c r="K155" s="244">
        <f>SUM(K125:K154)</f>
        <v>0</v>
      </c>
      <c r="L155" s="244">
        <f>SUM(L125:L154)</f>
        <v>0</v>
      </c>
      <c r="M155" s="247" t="str">
        <f>IFERROR(ROUND(E155/G155,2),"")</f>
        <v/>
      </c>
      <c r="N155" s="385" t="str">
        <f>IFERROR(ROUND(F155/E155,4),"")</f>
        <v/>
      </c>
    </row>
    <row r="156" spans="1:14" s="110" customFormat="1" ht="15.75" thickBot="1" x14ac:dyDescent="0.25">
      <c r="B156" s="249"/>
      <c r="C156" s="249"/>
      <c r="D156" s="249"/>
      <c r="E156" s="249"/>
      <c r="F156" s="249"/>
      <c r="G156" s="249"/>
      <c r="H156" s="250"/>
      <c r="I156" s="250"/>
      <c r="J156" s="249"/>
      <c r="K156" s="251"/>
      <c r="L156" s="249"/>
      <c r="M156" s="252"/>
      <c r="N156" s="249"/>
    </row>
    <row r="157" spans="1:14" ht="15.75" x14ac:dyDescent="0.25">
      <c r="A157" s="108">
        <v>5</v>
      </c>
      <c r="B157" s="644"/>
      <c r="C157" s="645"/>
      <c r="D157" s="645"/>
      <c r="E157" s="645"/>
      <c r="F157" s="645"/>
      <c r="G157" s="645"/>
      <c r="H157" s="645"/>
      <c r="I157" s="645"/>
      <c r="J157" s="645"/>
      <c r="K157" s="645"/>
      <c r="L157" s="645"/>
      <c r="M157" s="645"/>
      <c r="N157" s="646"/>
    </row>
    <row r="158" spans="1:14" ht="15.75" x14ac:dyDescent="0.25">
      <c r="B158" s="253" t="s">
        <v>162</v>
      </c>
      <c r="C158" s="254"/>
      <c r="D158" s="255"/>
      <c r="E158" s="256"/>
      <c r="F158" s="256"/>
      <c r="G158" s="257"/>
      <c r="H158" s="258"/>
      <c r="I158" s="258"/>
      <c r="J158" s="259"/>
      <c r="K158" s="260"/>
      <c r="L158" s="256"/>
      <c r="M158" s="261"/>
      <c r="N158" s="262"/>
    </row>
    <row r="159" spans="1:14" ht="16.5" thickBot="1" x14ac:dyDescent="0.3">
      <c r="B159" s="377"/>
      <c r="C159" s="263"/>
      <c r="D159" s="264"/>
      <c r="E159" s="205"/>
      <c r="F159" s="205"/>
      <c r="G159" s="265"/>
      <c r="H159" s="208"/>
      <c r="I159" s="208"/>
      <c r="J159" s="209"/>
      <c r="K159" s="266"/>
      <c r="L159" s="205"/>
      <c r="M159" s="211"/>
      <c r="N159" s="212"/>
    </row>
    <row r="160" spans="1:14" ht="16.5" thickBot="1" x14ac:dyDescent="0.3">
      <c r="B160" s="381"/>
      <c r="C160" s="214"/>
      <c r="D160" s="267"/>
      <c r="E160" s="207"/>
      <c r="F160" s="207"/>
      <c r="G160" s="207"/>
      <c r="H160" s="208"/>
      <c r="I160" s="258"/>
      <c r="J160" s="268"/>
      <c r="K160" s="269"/>
      <c r="L160" s="214"/>
      <c r="M160" s="215"/>
      <c r="N160" s="214"/>
    </row>
    <row r="161" spans="2:14" ht="15" x14ac:dyDescent="0.2">
      <c r="B161" s="381" t="s">
        <v>144</v>
      </c>
      <c r="C161" s="216" t="s">
        <v>145</v>
      </c>
      <c r="D161" s="216" t="s">
        <v>146</v>
      </c>
      <c r="E161" s="216" t="s">
        <v>147</v>
      </c>
      <c r="F161" s="217" t="s">
        <v>148</v>
      </c>
      <c r="G161" s="216" t="s">
        <v>157</v>
      </c>
      <c r="H161" s="217" t="s">
        <v>149</v>
      </c>
      <c r="I161" s="216" t="s">
        <v>150</v>
      </c>
      <c r="J161" s="218" t="s">
        <v>151</v>
      </c>
      <c r="K161" s="218" t="s">
        <v>158</v>
      </c>
      <c r="L161" s="218" t="s">
        <v>168</v>
      </c>
      <c r="M161" s="219" t="s">
        <v>219</v>
      </c>
      <c r="N161" s="382" t="s">
        <v>220</v>
      </c>
    </row>
    <row r="162" spans="2:14" ht="90" x14ac:dyDescent="0.2">
      <c r="B162" s="220" t="s">
        <v>152</v>
      </c>
      <c r="C162" s="221" t="s">
        <v>264</v>
      </c>
      <c r="D162" s="222" t="s">
        <v>164</v>
      </c>
      <c r="E162" s="600" t="s">
        <v>161</v>
      </c>
      <c r="F162" s="601" t="s">
        <v>154</v>
      </c>
      <c r="G162" s="223" t="s">
        <v>174</v>
      </c>
      <c r="H162" s="223" t="s">
        <v>155</v>
      </c>
      <c r="I162" s="223" t="s">
        <v>261</v>
      </c>
      <c r="J162" s="222" t="s">
        <v>153</v>
      </c>
      <c r="K162" s="222" t="s">
        <v>156</v>
      </c>
      <c r="L162" s="222" t="s">
        <v>159</v>
      </c>
      <c r="M162" s="224" t="s">
        <v>167</v>
      </c>
      <c r="N162" s="383" t="s">
        <v>166</v>
      </c>
    </row>
    <row r="163" spans="2:14" ht="15.75" x14ac:dyDescent="0.25">
      <c r="B163" s="225"/>
      <c r="C163" s="226" t="s">
        <v>162</v>
      </c>
      <c r="D163" s="222" t="s">
        <v>165</v>
      </c>
      <c r="E163" s="227"/>
      <c r="F163" s="228"/>
      <c r="G163" s="605"/>
      <c r="H163" s="223"/>
      <c r="I163" s="223"/>
      <c r="J163" s="222"/>
      <c r="K163" s="222"/>
      <c r="L163" s="222"/>
      <c r="M163" s="224"/>
      <c r="N163" s="383"/>
    </row>
    <row r="164" spans="2:14" s="110" customFormat="1" ht="15" x14ac:dyDescent="0.2">
      <c r="B164" s="371"/>
      <c r="C164" s="372"/>
      <c r="D164" s="373"/>
      <c r="E164" s="374"/>
      <c r="F164" s="374"/>
      <c r="G164" s="606"/>
      <c r="H164" s="375"/>
      <c r="I164" s="229" t="str">
        <f>IF(ISBLANK(G164),"",(ROUND(G164*H164,2)))</f>
        <v/>
      </c>
      <c r="J164" s="230" t="str">
        <f>IF(ISBLANK(E164),"",(ROUND(E164*H164,0)))</f>
        <v/>
      </c>
      <c r="K164" s="230" t="str">
        <f>IF(ISBLANK(F164),"",(ROUND(F164*H164,0)))</f>
        <v/>
      </c>
      <c r="L164" s="231" t="str">
        <f t="shared" ref="L164:L192" si="38">IFERROR(IF(C164="contract labor",J164,(ROUND(J164+K164,0))),"")</f>
        <v/>
      </c>
      <c r="M164" s="232" t="str">
        <f>IFERROR(ROUND(E164/G164,2),"")</f>
        <v/>
      </c>
      <c r="N164" s="384" t="str">
        <f>IFERROR(ROUND(F164/E164,4),"")</f>
        <v/>
      </c>
    </row>
    <row r="165" spans="2:14" s="110" customFormat="1" ht="15" x14ac:dyDescent="0.2">
      <c r="B165" s="371"/>
      <c r="C165" s="372"/>
      <c r="D165" s="373"/>
      <c r="E165" s="374"/>
      <c r="F165" s="374"/>
      <c r="G165" s="606"/>
      <c r="H165" s="375"/>
      <c r="I165" s="229" t="str">
        <f t="shared" ref="I165:I192" si="39">IF(ISBLANK(G165),"",(ROUND(G165*H165,2)))</f>
        <v/>
      </c>
      <c r="J165" s="230" t="str">
        <f t="shared" ref="J165:J192" si="40">IF(ISBLANK(E165),"",(ROUND(E165*H165,0)))</f>
        <v/>
      </c>
      <c r="K165" s="230" t="str">
        <f t="shared" ref="K165:K192" si="41">IF(ISBLANK(F165),"",(ROUND(F165*H165,0)))</f>
        <v/>
      </c>
      <c r="L165" s="231" t="str">
        <f t="shared" si="38"/>
        <v/>
      </c>
      <c r="M165" s="232" t="str">
        <f t="shared" ref="M165:M192" si="42">IFERROR(ROUND(E165/G165,2),"")</f>
        <v/>
      </c>
      <c r="N165" s="384" t="str">
        <f t="shared" ref="N165:N192" si="43">IFERROR(ROUND(F165/E165,4),"")</f>
        <v/>
      </c>
    </row>
    <row r="166" spans="2:14" s="110" customFormat="1" ht="15" x14ac:dyDescent="0.2">
      <c r="B166" s="371"/>
      <c r="C166" s="372"/>
      <c r="D166" s="373"/>
      <c r="E166" s="374"/>
      <c r="F166" s="374"/>
      <c r="G166" s="606"/>
      <c r="H166" s="375"/>
      <c r="I166" s="229" t="str">
        <f t="shared" si="39"/>
        <v/>
      </c>
      <c r="J166" s="230" t="str">
        <f t="shared" si="40"/>
        <v/>
      </c>
      <c r="K166" s="230" t="str">
        <f t="shared" si="41"/>
        <v/>
      </c>
      <c r="L166" s="231" t="str">
        <f t="shared" si="38"/>
        <v/>
      </c>
      <c r="M166" s="232" t="str">
        <f t="shared" si="42"/>
        <v/>
      </c>
      <c r="N166" s="384" t="str">
        <f t="shared" si="43"/>
        <v/>
      </c>
    </row>
    <row r="167" spans="2:14" s="110" customFormat="1" ht="15" x14ac:dyDescent="0.2">
      <c r="B167" s="371"/>
      <c r="C167" s="372"/>
      <c r="D167" s="373"/>
      <c r="E167" s="374"/>
      <c r="F167" s="374"/>
      <c r="G167" s="606"/>
      <c r="H167" s="375"/>
      <c r="I167" s="229" t="str">
        <f t="shared" si="39"/>
        <v/>
      </c>
      <c r="J167" s="230" t="str">
        <f t="shared" si="40"/>
        <v/>
      </c>
      <c r="K167" s="230" t="str">
        <f t="shared" si="41"/>
        <v/>
      </c>
      <c r="L167" s="231" t="str">
        <f t="shared" si="38"/>
        <v/>
      </c>
      <c r="M167" s="232" t="str">
        <f t="shared" si="42"/>
        <v/>
      </c>
      <c r="N167" s="384" t="str">
        <f t="shared" si="43"/>
        <v/>
      </c>
    </row>
    <row r="168" spans="2:14" s="110" customFormat="1" ht="15" x14ac:dyDescent="0.2">
      <c r="B168" s="371"/>
      <c r="C168" s="372"/>
      <c r="D168" s="373"/>
      <c r="E168" s="374"/>
      <c r="F168" s="374"/>
      <c r="G168" s="606"/>
      <c r="H168" s="375"/>
      <c r="I168" s="229" t="str">
        <f t="shared" si="39"/>
        <v/>
      </c>
      <c r="J168" s="230" t="str">
        <f t="shared" si="40"/>
        <v/>
      </c>
      <c r="K168" s="230" t="str">
        <f t="shared" si="41"/>
        <v/>
      </c>
      <c r="L168" s="231" t="str">
        <f t="shared" si="38"/>
        <v/>
      </c>
      <c r="M168" s="232" t="str">
        <f t="shared" si="42"/>
        <v/>
      </c>
      <c r="N168" s="384" t="str">
        <f t="shared" si="43"/>
        <v/>
      </c>
    </row>
    <row r="169" spans="2:14" s="110" customFormat="1" ht="15" x14ac:dyDescent="0.2">
      <c r="B169" s="371"/>
      <c r="C169" s="372"/>
      <c r="D169" s="373"/>
      <c r="E169" s="374"/>
      <c r="F169" s="374"/>
      <c r="G169" s="606"/>
      <c r="H169" s="375"/>
      <c r="I169" s="229" t="str">
        <f t="shared" si="39"/>
        <v/>
      </c>
      <c r="J169" s="230" t="str">
        <f t="shared" si="40"/>
        <v/>
      </c>
      <c r="K169" s="230" t="str">
        <f t="shared" si="41"/>
        <v/>
      </c>
      <c r="L169" s="231" t="str">
        <f t="shared" si="38"/>
        <v/>
      </c>
      <c r="M169" s="232" t="str">
        <f t="shared" si="42"/>
        <v/>
      </c>
      <c r="N169" s="384" t="str">
        <f t="shared" si="43"/>
        <v/>
      </c>
    </row>
    <row r="170" spans="2:14" s="110" customFormat="1" ht="15" x14ac:dyDescent="0.2">
      <c r="B170" s="371"/>
      <c r="C170" s="372"/>
      <c r="D170" s="373"/>
      <c r="E170" s="374"/>
      <c r="F170" s="374"/>
      <c r="G170" s="606"/>
      <c r="H170" s="375"/>
      <c r="I170" s="229" t="str">
        <f t="shared" si="39"/>
        <v/>
      </c>
      <c r="J170" s="230" t="str">
        <f t="shared" si="40"/>
        <v/>
      </c>
      <c r="K170" s="230" t="str">
        <f t="shared" si="41"/>
        <v/>
      </c>
      <c r="L170" s="231" t="str">
        <f t="shared" si="38"/>
        <v/>
      </c>
      <c r="M170" s="232" t="str">
        <f t="shared" si="42"/>
        <v/>
      </c>
      <c r="N170" s="384" t="str">
        <f t="shared" si="43"/>
        <v/>
      </c>
    </row>
    <row r="171" spans="2:14" s="110" customFormat="1" ht="15" x14ac:dyDescent="0.2">
      <c r="B171" s="371"/>
      <c r="C171" s="372"/>
      <c r="D171" s="373"/>
      <c r="E171" s="374"/>
      <c r="F171" s="374"/>
      <c r="G171" s="606"/>
      <c r="H171" s="375"/>
      <c r="I171" s="229" t="str">
        <f t="shared" si="39"/>
        <v/>
      </c>
      <c r="J171" s="230" t="str">
        <f t="shared" si="40"/>
        <v/>
      </c>
      <c r="K171" s="230" t="str">
        <f t="shared" si="41"/>
        <v/>
      </c>
      <c r="L171" s="231" t="str">
        <f t="shared" si="38"/>
        <v/>
      </c>
      <c r="M171" s="232" t="str">
        <f t="shared" si="42"/>
        <v/>
      </c>
      <c r="N171" s="384" t="str">
        <f t="shared" si="43"/>
        <v/>
      </c>
    </row>
    <row r="172" spans="2:14" s="110" customFormat="1" ht="15" x14ac:dyDescent="0.2">
      <c r="B172" s="371"/>
      <c r="C172" s="372"/>
      <c r="D172" s="373"/>
      <c r="E172" s="374"/>
      <c r="F172" s="374"/>
      <c r="G172" s="606"/>
      <c r="H172" s="375"/>
      <c r="I172" s="229" t="str">
        <f t="shared" si="39"/>
        <v/>
      </c>
      <c r="J172" s="230" t="str">
        <f t="shared" si="40"/>
        <v/>
      </c>
      <c r="K172" s="230" t="str">
        <f t="shared" si="41"/>
        <v/>
      </c>
      <c r="L172" s="231" t="str">
        <f t="shared" si="38"/>
        <v/>
      </c>
      <c r="M172" s="232" t="str">
        <f t="shared" si="42"/>
        <v/>
      </c>
      <c r="N172" s="384" t="str">
        <f t="shared" si="43"/>
        <v/>
      </c>
    </row>
    <row r="173" spans="2:14" s="110" customFormat="1" ht="15" x14ac:dyDescent="0.2">
      <c r="B173" s="371"/>
      <c r="C173" s="372"/>
      <c r="D173" s="373"/>
      <c r="E173" s="374"/>
      <c r="F173" s="374"/>
      <c r="G173" s="606"/>
      <c r="H173" s="375"/>
      <c r="I173" s="229" t="str">
        <f t="shared" si="39"/>
        <v/>
      </c>
      <c r="J173" s="230" t="str">
        <f t="shared" si="40"/>
        <v/>
      </c>
      <c r="K173" s="230" t="str">
        <f t="shared" si="41"/>
        <v/>
      </c>
      <c r="L173" s="231" t="str">
        <f t="shared" si="38"/>
        <v/>
      </c>
      <c r="M173" s="232" t="str">
        <f t="shared" si="42"/>
        <v/>
      </c>
      <c r="N173" s="384" t="str">
        <f t="shared" si="43"/>
        <v/>
      </c>
    </row>
    <row r="174" spans="2:14" s="110" customFormat="1" ht="15" x14ac:dyDescent="0.2">
      <c r="B174" s="371"/>
      <c r="C174" s="372"/>
      <c r="D174" s="373"/>
      <c r="E174" s="374"/>
      <c r="F174" s="374"/>
      <c r="G174" s="606"/>
      <c r="H174" s="375"/>
      <c r="I174" s="229" t="str">
        <f t="shared" si="39"/>
        <v/>
      </c>
      <c r="J174" s="230" t="str">
        <f t="shared" si="40"/>
        <v/>
      </c>
      <c r="K174" s="230" t="str">
        <f t="shared" si="41"/>
        <v/>
      </c>
      <c r="L174" s="231" t="str">
        <f t="shared" si="38"/>
        <v/>
      </c>
      <c r="M174" s="232" t="str">
        <f t="shared" si="42"/>
        <v/>
      </c>
      <c r="N174" s="384" t="str">
        <f t="shared" si="43"/>
        <v/>
      </c>
    </row>
    <row r="175" spans="2:14" s="110" customFormat="1" ht="15" x14ac:dyDescent="0.2">
      <c r="B175" s="371"/>
      <c r="C175" s="372"/>
      <c r="D175" s="373"/>
      <c r="E175" s="374"/>
      <c r="F175" s="374"/>
      <c r="G175" s="606"/>
      <c r="H175" s="375"/>
      <c r="I175" s="229" t="str">
        <f t="shared" si="39"/>
        <v/>
      </c>
      <c r="J175" s="230" t="str">
        <f t="shared" si="40"/>
        <v/>
      </c>
      <c r="K175" s="230" t="str">
        <f t="shared" si="41"/>
        <v/>
      </c>
      <c r="L175" s="231" t="str">
        <f t="shared" si="38"/>
        <v/>
      </c>
      <c r="M175" s="232" t="str">
        <f t="shared" si="42"/>
        <v/>
      </c>
      <c r="N175" s="384" t="str">
        <f t="shared" si="43"/>
        <v/>
      </c>
    </row>
    <row r="176" spans="2:14" s="110" customFormat="1" ht="15" x14ac:dyDescent="0.2">
      <c r="B176" s="371"/>
      <c r="C176" s="372"/>
      <c r="D176" s="373"/>
      <c r="E176" s="374"/>
      <c r="F176" s="374"/>
      <c r="G176" s="606"/>
      <c r="H176" s="375"/>
      <c r="I176" s="229" t="str">
        <f t="shared" si="39"/>
        <v/>
      </c>
      <c r="J176" s="230" t="str">
        <f t="shared" si="40"/>
        <v/>
      </c>
      <c r="K176" s="230" t="str">
        <f t="shared" si="41"/>
        <v/>
      </c>
      <c r="L176" s="231" t="str">
        <f t="shared" si="38"/>
        <v/>
      </c>
      <c r="M176" s="232" t="str">
        <f t="shared" si="42"/>
        <v/>
      </c>
      <c r="N176" s="384" t="str">
        <f t="shared" si="43"/>
        <v/>
      </c>
    </row>
    <row r="177" spans="2:14" s="110" customFormat="1" ht="15" x14ac:dyDescent="0.2">
      <c r="B177" s="371"/>
      <c r="C177" s="372"/>
      <c r="D177" s="373"/>
      <c r="E177" s="374"/>
      <c r="F177" s="374"/>
      <c r="G177" s="606"/>
      <c r="H177" s="375"/>
      <c r="I177" s="229" t="str">
        <f t="shared" si="39"/>
        <v/>
      </c>
      <c r="J177" s="230" t="str">
        <f t="shared" si="40"/>
        <v/>
      </c>
      <c r="K177" s="230" t="str">
        <f t="shared" si="41"/>
        <v/>
      </c>
      <c r="L177" s="231" t="str">
        <f t="shared" si="38"/>
        <v/>
      </c>
      <c r="M177" s="232" t="str">
        <f t="shared" si="42"/>
        <v/>
      </c>
      <c r="N177" s="384" t="str">
        <f t="shared" si="43"/>
        <v/>
      </c>
    </row>
    <row r="178" spans="2:14" s="110" customFormat="1" ht="15" x14ac:dyDescent="0.2">
      <c r="B178" s="371"/>
      <c r="C178" s="372"/>
      <c r="D178" s="373"/>
      <c r="E178" s="374"/>
      <c r="F178" s="374"/>
      <c r="G178" s="606"/>
      <c r="H178" s="375"/>
      <c r="I178" s="229" t="str">
        <f t="shared" si="39"/>
        <v/>
      </c>
      <c r="J178" s="230" t="str">
        <f t="shared" si="40"/>
        <v/>
      </c>
      <c r="K178" s="230" t="str">
        <f t="shared" si="41"/>
        <v/>
      </c>
      <c r="L178" s="231" t="str">
        <f t="shared" si="38"/>
        <v/>
      </c>
      <c r="M178" s="232" t="str">
        <f t="shared" si="42"/>
        <v/>
      </c>
      <c r="N178" s="384" t="str">
        <f t="shared" si="43"/>
        <v/>
      </c>
    </row>
    <row r="179" spans="2:14" s="110" customFormat="1" ht="15" x14ac:dyDescent="0.2">
      <c r="B179" s="371"/>
      <c r="C179" s="372"/>
      <c r="D179" s="373"/>
      <c r="E179" s="374"/>
      <c r="F179" s="374"/>
      <c r="G179" s="606"/>
      <c r="H179" s="375"/>
      <c r="I179" s="229" t="str">
        <f t="shared" si="39"/>
        <v/>
      </c>
      <c r="J179" s="230" t="str">
        <f t="shared" si="40"/>
        <v/>
      </c>
      <c r="K179" s="230" t="str">
        <f t="shared" si="41"/>
        <v/>
      </c>
      <c r="L179" s="231" t="str">
        <f t="shared" si="38"/>
        <v/>
      </c>
      <c r="M179" s="232" t="str">
        <f t="shared" si="42"/>
        <v/>
      </c>
      <c r="N179" s="384" t="str">
        <f t="shared" si="43"/>
        <v/>
      </c>
    </row>
    <row r="180" spans="2:14" s="110" customFormat="1" ht="15" x14ac:dyDescent="0.2">
      <c r="B180" s="371"/>
      <c r="C180" s="372"/>
      <c r="D180" s="373"/>
      <c r="E180" s="374"/>
      <c r="F180" s="374"/>
      <c r="G180" s="606"/>
      <c r="H180" s="375"/>
      <c r="I180" s="229" t="str">
        <f t="shared" si="39"/>
        <v/>
      </c>
      <c r="J180" s="230" t="str">
        <f t="shared" si="40"/>
        <v/>
      </c>
      <c r="K180" s="230" t="str">
        <f t="shared" si="41"/>
        <v/>
      </c>
      <c r="L180" s="231" t="str">
        <f t="shared" si="38"/>
        <v/>
      </c>
      <c r="M180" s="232" t="str">
        <f t="shared" si="42"/>
        <v/>
      </c>
      <c r="N180" s="384" t="str">
        <f t="shared" si="43"/>
        <v/>
      </c>
    </row>
    <row r="181" spans="2:14" s="110" customFormat="1" ht="15" x14ac:dyDescent="0.2">
      <c r="B181" s="371"/>
      <c r="C181" s="372"/>
      <c r="D181" s="373"/>
      <c r="E181" s="374"/>
      <c r="F181" s="374"/>
      <c r="G181" s="606"/>
      <c r="H181" s="375"/>
      <c r="I181" s="229" t="str">
        <f t="shared" si="39"/>
        <v/>
      </c>
      <c r="J181" s="230" t="str">
        <f t="shared" si="40"/>
        <v/>
      </c>
      <c r="K181" s="230" t="str">
        <f t="shared" si="41"/>
        <v/>
      </c>
      <c r="L181" s="231" t="str">
        <f t="shared" si="38"/>
        <v/>
      </c>
      <c r="M181" s="232" t="str">
        <f t="shared" si="42"/>
        <v/>
      </c>
      <c r="N181" s="384" t="str">
        <f t="shared" si="43"/>
        <v/>
      </c>
    </row>
    <row r="182" spans="2:14" s="110" customFormat="1" ht="15" x14ac:dyDescent="0.2">
      <c r="B182" s="371"/>
      <c r="C182" s="372"/>
      <c r="D182" s="373"/>
      <c r="E182" s="374"/>
      <c r="F182" s="374"/>
      <c r="G182" s="606"/>
      <c r="H182" s="375"/>
      <c r="I182" s="229" t="str">
        <f t="shared" si="39"/>
        <v/>
      </c>
      <c r="J182" s="230" t="str">
        <f t="shared" si="40"/>
        <v/>
      </c>
      <c r="K182" s="230" t="str">
        <f t="shared" si="41"/>
        <v/>
      </c>
      <c r="L182" s="231" t="str">
        <f t="shared" si="38"/>
        <v/>
      </c>
      <c r="M182" s="232" t="str">
        <f t="shared" si="42"/>
        <v/>
      </c>
      <c r="N182" s="384" t="str">
        <f t="shared" si="43"/>
        <v/>
      </c>
    </row>
    <row r="183" spans="2:14" s="110" customFormat="1" ht="15" x14ac:dyDescent="0.2">
      <c r="B183" s="371"/>
      <c r="C183" s="372"/>
      <c r="D183" s="373"/>
      <c r="E183" s="374"/>
      <c r="F183" s="374"/>
      <c r="G183" s="606"/>
      <c r="H183" s="375"/>
      <c r="I183" s="229" t="str">
        <f t="shared" si="39"/>
        <v/>
      </c>
      <c r="J183" s="230" t="str">
        <f t="shared" si="40"/>
        <v/>
      </c>
      <c r="K183" s="230" t="str">
        <f t="shared" si="41"/>
        <v/>
      </c>
      <c r="L183" s="231" t="str">
        <f t="shared" si="38"/>
        <v/>
      </c>
      <c r="M183" s="232" t="str">
        <f t="shared" si="42"/>
        <v/>
      </c>
      <c r="N183" s="384" t="str">
        <f t="shared" si="43"/>
        <v/>
      </c>
    </row>
    <row r="184" spans="2:14" s="110" customFormat="1" ht="15" x14ac:dyDescent="0.2">
      <c r="B184" s="371"/>
      <c r="C184" s="372"/>
      <c r="D184" s="373"/>
      <c r="E184" s="374"/>
      <c r="F184" s="374"/>
      <c r="G184" s="606"/>
      <c r="H184" s="375"/>
      <c r="I184" s="229" t="str">
        <f t="shared" si="39"/>
        <v/>
      </c>
      <c r="J184" s="230" t="str">
        <f t="shared" si="40"/>
        <v/>
      </c>
      <c r="K184" s="230" t="str">
        <f t="shared" si="41"/>
        <v/>
      </c>
      <c r="L184" s="231" t="str">
        <f t="shared" si="38"/>
        <v/>
      </c>
      <c r="M184" s="232" t="str">
        <f t="shared" si="42"/>
        <v/>
      </c>
      <c r="N184" s="384" t="str">
        <f t="shared" si="43"/>
        <v/>
      </c>
    </row>
    <row r="185" spans="2:14" s="110" customFormat="1" ht="15" x14ac:dyDescent="0.2">
      <c r="B185" s="371"/>
      <c r="C185" s="372"/>
      <c r="D185" s="373"/>
      <c r="E185" s="374"/>
      <c r="F185" s="374"/>
      <c r="G185" s="606"/>
      <c r="H185" s="375"/>
      <c r="I185" s="229" t="str">
        <f t="shared" si="39"/>
        <v/>
      </c>
      <c r="J185" s="230" t="str">
        <f t="shared" si="40"/>
        <v/>
      </c>
      <c r="K185" s="230" t="str">
        <f t="shared" si="41"/>
        <v/>
      </c>
      <c r="L185" s="231" t="str">
        <f t="shared" si="38"/>
        <v/>
      </c>
      <c r="M185" s="232" t="str">
        <f t="shared" si="42"/>
        <v/>
      </c>
      <c r="N185" s="384" t="str">
        <f t="shared" si="43"/>
        <v/>
      </c>
    </row>
    <row r="186" spans="2:14" s="110" customFormat="1" ht="15" x14ac:dyDescent="0.2">
      <c r="B186" s="371"/>
      <c r="C186" s="372"/>
      <c r="D186" s="373"/>
      <c r="E186" s="374"/>
      <c r="F186" s="374"/>
      <c r="G186" s="606"/>
      <c r="H186" s="375"/>
      <c r="I186" s="229" t="str">
        <f t="shared" si="39"/>
        <v/>
      </c>
      <c r="J186" s="230" t="str">
        <f t="shared" si="40"/>
        <v/>
      </c>
      <c r="K186" s="230" t="str">
        <f t="shared" si="41"/>
        <v/>
      </c>
      <c r="L186" s="231" t="str">
        <f t="shared" si="38"/>
        <v/>
      </c>
      <c r="M186" s="232" t="str">
        <f t="shared" si="42"/>
        <v/>
      </c>
      <c r="N186" s="384" t="str">
        <f t="shared" si="43"/>
        <v/>
      </c>
    </row>
    <row r="187" spans="2:14" s="110" customFormat="1" ht="15" x14ac:dyDescent="0.2">
      <c r="B187" s="371"/>
      <c r="C187" s="372"/>
      <c r="D187" s="373"/>
      <c r="E187" s="374"/>
      <c r="F187" s="374"/>
      <c r="G187" s="606"/>
      <c r="H187" s="375"/>
      <c r="I187" s="229" t="str">
        <f t="shared" si="39"/>
        <v/>
      </c>
      <c r="J187" s="230" t="str">
        <f t="shared" si="40"/>
        <v/>
      </c>
      <c r="K187" s="230" t="str">
        <f t="shared" si="41"/>
        <v/>
      </c>
      <c r="L187" s="231" t="str">
        <f t="shared" si="38"/>
        <v/>
      </c>
      <c r="M187" s="232" t="str">
        <f t="shared" si="42"/>
        <v/>
      </c>
      <c r="N187" s="384" t="str">
        <f t="shared" si="43"/>
        <v/>
      </c>
    </row>
    <row r="188" spans="2:14" s="110" customFormat="1" ht="15" x14ac:dyDescent="0.2">
      <c r="B188" s="371"/>
      <c r="C188" s="372"/>
      <c r="D188" s="373"/>
      <c r="E188" s="374"/>
      <c r="F188" s="374"/>
      <c r="G188" s="606"/>
      <c r="H188" s="375"/>
      <c r="I188" s="229" t="str">
        <f t="shared" si="39"/>
        <v/>
      </c>
      <c r="J188" s="230" t="str">
        <f t="shared" si="40"/>
        <v/>
      </c>
      <c r="K188" s="230" t="str">
        <f t="shared" si="41"/>
        <v/>
      </c>
      <c r="L188" s="231" t="str">
        <f t="shared" si="38"/>
        <v/>
      </c>
      <c r="M188" s="232" t="str">
        <f t="shared" si="42"/>
        <v/>
      </c>
      <c r="N188" s="384" t="str">
        <f t="shared" si="43"/>
        <v/>
      </c>
    </row>
    <row r="189" spans="2:14" s="110" customFormat="1" ht="15" x14ac:dyDescent="0.2">
      <c r="B189" s="371"/>
      <c r="C189" s="372"/>
      <c r="D189" s="373"/>
      <c r="E189" s="374"/>
      <c r="F189" s="374"/>
      <c r="G189" s="606"/>
      <c r="H189" s="375"/>
      <c r="I189" s="229" t="str">
        <f t="shared" si="39"/>
        <v/>
      </c>
      <c r="J189" s="230" t="str">
        <f t="shared" si="40"/>
        <v/>
      </c>
      <c r="K189" s="230" t="str">
        <f t="shared" si="41"/>
        <v/>
      </c>
      <c r="L189" s="231" t="str">
        <f t="shared" si="38"/>
        <v/>
      </c>
      <c r="M189" s="232" t="str">
        <f t="shared" si="42"/>
        <v/>
      </c>
      <c r="N189" s="384" t="str">
        <f t="shared" si="43"/>
        <v/>
      </c>
    </row>
    <row r="190" spans="2:14" s="110" customFormat="1" ht="15" x14ac:dyDescent="0.2">
      <c r="B190" s="371"/>
      <c r="C190" s="372"/>
      <c r="D190" s="373"/>
      <c r="E190" s="374"/>
      <c r="F190" s="374"/>
      <c r="G190" s="606"/>
      <c r="H190" s="375"/>
      <c r="I190" s="229" t="str">
        <f t="shared" si="39"/>
        <v/>
      </c>
      <c r="J190" s="230" t="str">
        <f t="shared" si="40"/>
        <v/>
      </c>
      <c r="K190" s="230" t="str">
        <f t="shared" si="41"/>
        <v/>
      </c>
      <c r="L190" s="231" t="str">
        <f t="shared" si="38"/>
        <v/>
      </c>
      <c r="M190" s="232" t="str">
        <f t="shared" si="42"/>
        <v/>
      </c>
      <c r="N190" s="384" t="str">
        <f t="shared" si="43"/>
        <v/>
      </c>
    </row>
    <row r="191" spans="2:14" s="110" customFormat="1" ht="15" x14ac:dyDescent="0.2">
      <c r="B191" s="371"/>
      <c r="C191" s="372"/>
      <c r="D191" s="373"/>
      <c r="E191" s="374"/>
      <c r="F191" s="374"/>
      <c r="G191" s="606"/>
      <c r="H191" s="375"/>
      <c r="I191" s="229" t="str">
        <f t="shared" si="39"/>
        <v/>
      </c>
      <c r="J191" s="230" t="str">
        <f t="shared" si="40"/>
        <v/>
      </c>
      <c r="K191" s="230" t="str">
        <f t="shared" si="41"/>
        <v/>
      </c>
      <c r="L191" s="231" t="str">
        <f t="shared" si="38"/>
        <v/>
      </c>
      <c r="M191" s="232" t="str">
        <f t="shared" si="42"/>
        <v/>
      </c>
      <c r="N191" s="384" t="str">
        <f t="shared" si="43"/>
        <v/>
      </c>
    </row>
    <row r="192" spans="2:14" s="110" customFormat="1" ht="15" x14ac:dyDescent="0.2">
      <c r="B192" s="371"/>
      <c r="C192" s="372"/>
      <c r="D192" s="373"/>
      <c r="E192" s="374"/>
      <c r="F192" s="374"/>
      <c r="G192" s="606"/>
      <c r="H192" s="375"/>
      <c r="I192" s="229" t="str">
        <f t="shared" si="39"/>
        <v/>
      </c>
      <c r="J192" s="230" t="str">
        <f t="shared" si="40"/>
        <v/>
      </c>
      <c r="K192" s="230" t="str">
        <f t="shared" si="41"/>
        <v/>
      </c>
      <c r="L192" s="231" t="str">
        <f t="shared" si="38"/>
        <v/>
      </c>
      <c r="M192" s="232" t="str">
        <f t="shared" si="42"/>
        <v/>
      </c>
      <c r="N192" s="384" t="str">
        <f t="shared" si="43"/>
        <v/>
      </c>
    </row>
    <row r="193" spans="1:14" s="110" customFormat="1" ht="15" x14ac:dyDescent="0.2">
      <c r="B193" s="234"/>
      <c r="C193" s="235"/>
      <c r="D193" s="236"/>
      <c r="E193" s="237"/>
      <c r="F193" s="237"/>
      <c r="G193" s="607"/>
      <c r="H193" s="238"/>
      <c r="I193" s="238"/>
      <c r="J193" s="239"/>
      <c r="K193" s="240"/>
      <c r="L193" s="240"/>
      <c r="M193" s="232" t="str">
        <f t="shared" ref="M193" si="44">IFERROR(ROUND(E193/G193,2),"")</f>
        <v/>
      </c>
      <c r="N193" s="384" t="str">
        <f t="shared" ref="N193" si="45">IFERROR(ROUND(F193/E193,4),"")</f>
        <v/>
      </c>
    </row>
    <row r="194" spans="1:14" s="110" customFormat="1" ht="15.75" thickBot="1" x14ac:dyDescent="0.25">
      <c r="B194" s="241"/>
      <c r="C194" s="242"/>
      <c r="D194" s="243" t="s">
        <v>38</v>
      </c>
      <c r="E194" s="244">
        <f>SUM(E164:E193)</f>
        <v>0</v>
      </c>
      <c r="F194" s="244">
        <f>SUM(F164:F193)</f>
        <v>0</v>
      </c>
      <c r="G194" s="608">
        <f>SUM(G164:G193)</f>
        <v>0</v>
      </c>
      <c r="H194" s="246"/>
      <c r="I194" s="245">
        <f>SUM(I164:I193)</f>
        <v>0</v>
      </c>
      <c r="J194" s="244">
        <f>SUM(J164:J193)</f>
        <v>0</v>
      </c>
      <c r="K194" s="244">
        <f>SUM(K164:K193)</f>
        <v>0</v>
      </c>
      <c r="L194" s="244">
        <f>SUM(L164:L193)</f>
        <v>0</v>
      </c>
      <c r="M194" s="247" t="str">
        <f>IFERROR(ROUND(E194/G194,2),"")</f>
        <v/>
      </c>
      <c r="N194" s="385" t="str">
        <f>IFERROR(ROUND(F194/E194,4),"")</f>
        <v/>
      </c>
    </row>
    <row r="195" spans="1:14" ht="16.5" thickBot="1" x14ac:dyDescent="0.3">
      <c r="B195" s="270"/>
      <c r="C195" s="270"/>
      <c r="D195" s="255"/>
      <c r="E195" s="256"/>
      <c r="F195" s="256"/>
      <c r="G195" s="257"/>
      <c r="H195" s="258"/>
      <c r="I195" s="258"/>
      <c r="J195" s="268"/>
      <c r="K195" s="260"/>
      <c r="L195" s="214"/>
      <c r="M195" s="215"/>
      <c r="N195" s="214"/>
    </row>
    <row r="196" spans="1:14" ht="15.75" x14ac:dyDescent="0.25">
      <c r="A196" s="108">
        <v>6</v>
      </c>
      <c r="B196" s="644"/>
      <c r="C196" s="645"/>
      <c r="D196" s="645"/>
      <c r="E196" s="645"/>
      <c r="F196" s="645"/>
      <c r="G196" s="645"/>
      <c r="H196" s="645"/>
      <c r="I196" s="645"/>
      <c r="J196" s="645"/>
      <c r="K196" s="645"/>
      <c r="L196" s="645"/>
      <c r="M196" s="645"/>
      <c r="N196" s="646"/>
    </row>
    <row r="197" spans="1:14" ht="15.75" x14ac:dyDescent="0.25">
      <c r="B197" s="253" t="s">
        <v>162</v>
      </c>
      <c r="C197" s="254"/>
      <c r="D197" s="255"/>
      <c r="E197" s="256"/>
      <c r="F197" s="256"/>
      <c r="G197" s="257"/>
      <c r="H197" s="258"/>
      <c r="I197" s="258"/>
      <c r="J197" s="259"/>
      <c r="K197" s="260"/>
      <c r="L197" s="256"/>
      <c r="M197" s="261"/>
      <c r="N197" s="262"/>
    </row>
    <row r="198" spans="1:14" ht="16.5" thickBot="1" x14ac:dyDescent="0.3">
      <c r="B198" s="377"/>
      <c r="C198" s="263"/>
      <c r="D198" s="264"/>
      <c r="E198" s="205"/>
      <c r="F198" s="205"/>
      <c r="G198" s="265"/>
      <c r="H198" s="208"/>
      <c r="I198" s="208"/>
      <c r="J198" s="209"/>
      <c r="K198" s="266"/>
      <c r="L198" s="205"/>
      <c r="M198" s="211"/>
      <c r="N198" s="212"/>
    </row>
    <row r="199" spans="1:14" ht="15" x14ac:dyDescent="0.2">
      <c r="B199" s="381" t="s">
        <v>144</v>
      </c>
      <c r="C199" s="216" t="s">
        <v>145</v>
      </c>
      <c r="D199" s="216" t="s">
        <v>146</v>
      </c>
      <c r="E199" s="216" t="s">
        <v>147</v>
      </c>
      <c r="F199" s="217" t="s">
        <v>148</v>
      </c>
      <c r="G199" s="216" t="s">
        <v>157</v>
      </c>
      <c r="H199" s="217" t="s">
        <v>149</v>
      </c>
      <c r="I199" s="216" t="s">
        <v>150</v>
      </c>
      <c r="J199" s="218" t="s">
        <v>151</v>
      </c>
      <c r="K199" s="218" t="s">
        <v>158</v>
      </c>
      <c r="L199" s="218" t="s">
        <v>168</v>
      </c>
      <c r="M199" s="219" t="s">
        <v>219</v>
      </c>
      <c r="N199" s="382" t="s">
        <v>220</v>
      </c>
    </row>
    <row r="200" spans="1:14" ht="90" x14ac:dyDescent="0.2">
      <c r="B200" s="220" t="s">
        <v>152</v>
      </c>
      <c r="C200" s="221" t="s">
        <v>264</v>
      </c>
      <c r="D200" s="222" t="s">
        <v>164</v>
      </c>
      <c r="E200" s="600" t="s">
        <v>161</v>
      </c>
      <c r="F200" s="601" t="s">
        <v>154</v>
      </c>
      <c r="G200" s="223" t="s">
        <v>174</v>
      </c>
      <c r="H200" s="223" t="s">
        <v>155</v>
      </c>
      <c r="I200" s="223" t="s">
        <v>261</v>
      </c>
      <c r="J200" s="222" t="s">
        <v>153</v>
      </c>
      <c r="K200" s="222" t="s">
        <v>156</v>
      </c>
      <c r="L200" s="222" t="s">
        <v>159</v>
      </c>
      <c r="M200" s="224" t="s">
        <v>167</v>
      </c>
      <c r="N200" s="222" t="s">
        <v>166</v>
      </c>
    </row>
    <row r="201" spans="1:14" ht="15.75" x14ac:dyDescent="0.25">
      <c r="B201" s="225"/>
      <c r="C201" s="226" t="s">
        <v>162</v>
      </c>
      <c r="D201" s="222" t="s">
        <v>165</v>
      </c>
      <c r="E201" s="227"/>
      <c r="F201" s="228"/>
      <c r="G201" s="605"/>
      <c r="H201" s="223"/>
      <c r="I201" s="223"/>
      <c r="J201" s="222"/>
      <c r="K201" s="222"/>
      <c r="L201" s="222"/>
      <c r="M201" s="224"/>
      <c r="N201" s="222"/>
    </row>
    <row r="202" spans="1:14" s="110" customFormat="1" ht="15" x14ac:dyDescent="0.2">
      <c r="B202" s="371"/>
      <c r="C202" s="372"/>
      <c r="D202" s="373"/>
      <c r="E202" s="374"/>
      <c r="F202" s="374"/>
      <c r="G202" s="606"/>
      <c r="H202" s="375"/>
      <c r="I202" s="229" t="str">
        <f>IF(ISBLANK(G202),"",(ROUND(G202*H202,2)))</f>
        <v/>
      </c>
      <c r="J202" s="230" t="str">
        <f>IF(ISBLANK(E202),"",(ROUND(E202*H202,0)))</f>
        <v/>
      </c>
      <c r="K202" s="230" t="str">
        <f>IF(ISBLANK(F202),"",(ROUND(F202*H202,0)))</f>
        <v/>
      </c>
      <c r="L202" s="231" t="str">
        <f t="shared" ref="L202:L231" si="46">IFERROR(IF(C202="contract labor",J202,(ROUND(J202+K202,0))),"")</f>
        <v/>
      </c>
      <c r="M202" s="232" t="str">
        <f>IFERROR(ROUND(E202/G202,2),"")</f>
        <v/>
      </c>
      <c r="N202" s="384" t="str">
        <f>IFERROR(ROUND(F202/E202,4),"")</f>
        <v/>
      </c>
    </row>
    <row r="203" spans="1:14" s="110" customFormat="1" ht="15" x14ac:dyDescent="0.2">
      <c r="B203" s="371"/>
      <c r="C203" s="372"/>
      <c r="D203" s="373"/>
      <c r="E203" s="374"/>
      <c r="F203" s="374"/>
      <c r="G203" s="606"/>
      <c r="H203" s="375"/>
      <c r="I203" s="229" t="str">
        <f t="shared" ref="I203:I231" si="47">IF(ISBLANK(G203),"",(ROUND(G203*H203,2)))</f>
        <v/>
      </c>
      <c r="J203" s="230" t="str">
        <f t="shared" ref="J203:J231" si="48">IF(ISBLANK(E203),"",(ROUND(E203*H203,0)))</f>
        <v/>
      </c>
      <c r="K203" s="230" t="str">
        <f t="shared" ref="K203:K231" si="49">IF(ISBLANK(F203),"",(ROUND(F203*H203,0)))</f>
        <v/>
      </c>
      <c r="L203" s="231" t="str">
        <f t="shared" si="46"/>
        <v/>
      </c>
      <c r="M203" s="232" t="str">
        <f t="shared" ref="M203:M231" si="50">IFERROR(ROUND(E203/G203,2),"")</f>
        <v/>
      </c>
      <c r="N203" s="384" t="str">
        <f t="shared" ref="N203:N231" si="51">IFERROR(ROUND(F203/E203,4),"")</f>
        <v/>
      </c>
    </row>
    <row r="204" spans="1:14" s="110" customFormat="1" ht="15" x14ac:dyDescent="0.2">
      <c r="B204" s="371"/>
      <c r="C204" s="372"/>
      <c r="D204" s="373"/>
      <c r="E204" s="374"/>
      <c r="F204" s="374"/>
      <c r="G204" s="606"/>
      <c r="H204" s="375"/>
      <c r="I204" s="229" t="str">
        <f t="shared" si="47"/>
        <v/>
      </c>
      <c r="J204" s="230" t="str">
        <f t="shared" si="48"/>
        <v/>
      </c>
      <c r="K204" s="230" t="str">
        <f t="shared" si="49"/>
        <v/>
      </c>
      <c r="L204" s="231" t="str">
        <f t="shared" si="46"/>
        <v/>
      </c>
      <c r="M204" s="232" t="str">
        <f t="shared" si="50"/>
        <v/>
      </c>
      <c r="N204" s="384" t="str">
        <f t="shared" si="51"/>
        <v/>
      </c>
    </row>
    <row r="205" spans="1:14" s="110" customFormat="1" ht="15" x14ac:dyDescent="0.2">
      <c r="B205" s="371"/>
      <c r="C205" s="372"/>
      <c r="D205" s="373"/>
      <c r="E205" s="374"/>
      <c r="F205" s="374"/>
      <c r="G205" s="606"/>
      <c r="H205" s="375"/>
      <c r="I205" s="229" t="str">
        <f t="shared" si="47"/>
        <v/>
      </c>
      <c r="J205" s="230" t="str">
        <f t="shared" si="48"/>
        <v/>
      </c>
      <c r="K205" s="230" t="str">
        <f t="shared" si="49"/>
        <v/>
      </c>
      <c r="L205" s="231" t="str">
        <f t="shared" si="46"/>
        <v/>
      </c>
      <c r="M205" s="232" t="str">
        <f t="shared" si="50"/>
        <v/>
      </c>
      <c r="N205" s="384" t="str">
        <f t="shared" si="51"/>
        <v/>
      </c>
    </row>
    <row r="206" spans="1:14" s="110" customFormat="1" ht="15" x14ac:dyDescent="0.2">
      <c r="B206" s="371"/>
      <c r="C206" s="372"/>
      <c r="D206" s="373"/>
      <c r="E206" s="374"/>
      <c r="F206" s="374"/>
      <c r="G206" s="606"/>
      <c r="H206" s="375"/>
      <c r="I206" s="229" t="str">
        <f t="shared" si="47"/>
        <v/>
      </c>
      <c r="J206" s="230" t="str">
        <f t="shared" si="48"/>
        <v/>
      </c>
      <c r="K206" s="230" t="str">
        <f t="shared" si="49"/>
        <v/>
      </c>
      <c r="L206" s="231" t="str">
        <f t="shared" si="46"/>
        <v/>
      </c>
      <c r="M206" s="232" t="str">
        <f t="shared" si="50"/>
        <v/>
      </c>
      <c r="N206" s="384" t="str">
        <f t="shared" si="51"/>
        <v/>
      </c>
    </row>
    <row r="207" spans="1:14" s="110" customFormat="1" ht="15" x14ac:dyDescent="0.2">
      <c r="B207" s="371"/>
      <c r="C207" s="372"/>
      <c r="D207" s="373"/>
      <c r="E207" s="374"/>
      <c r="F207" s="374"/>
      <c r="G207" s="606"/>
      <c r="H207" s="375"/>
      <c r="I207" s="229" t="str">
        <f t="shared" si="47"/>
        <v/>
      </c>
      <c r="J207" s="230" t="str">
        <f t="shared" si="48"/>
        <v/>
      </c>
      <c r="K207" s="230" t="str">
        <f t="shared" si="49"/>
        <v/>
      </c>
      <c r="L207" s="231" t="str">
        <f t="shared" si="46"/>
        <v/>
      </c>
      <c r="M207" s="232" t="str">
        <f t="shared" si="50"/>
        <v/>
      </c>
      <c r="N207" s="384" t="str">
        <f t="shared" si="51"/>
        <v/>
      </c>
    </row>
    <row r="208" spans="1:14" s="110" customFormat="1" ht="15" x14ac:dyDescent="0.2">
      <c r="B208" s="371"/>
      <c r="C208" s="372"/>
      <c r="D208" s="373"/>
      <c r="E208" s="374"/>
      <c r="F208" s="374"/>
      <c r="G208" s="606"/>
      <c r="H208" s="375"/>
      <c r="I208" s="229" t="str">
        <f t="shared" si="47"/>
        <v/>
      </c>
      <c r="J208" s="230" t="str">
        <f t="shared" si="48"/>
        <v/>
      </c>
      <c r="K208" s="230" t="str">
        <f t="shared" si="49"/>
        <v/>
      </c>
      <c r="L208" s="231" t="str">
        <f t="shared" si="46"/>
        <v/>
      </c>
      <c r="M208" s="232" t="str">
        <f t="shared" si="50"/>
        <v/>
      </c>
      <c r="N208" s="384" t="str">
        <f t="shared" si="51"/>
        <v/>
      </c>
    </row>
    <row r="209" spans="2:14" s="110" customFormat="1" ht="15" x14ac:dyDescent="0.2">
      <c r="B209" s="371"/>
      <c r="C209" s="372"/>
      <c r="D209" s="373"/>
      <c r="E209" s="374"/>
      <c r="F209" s="374"/>
      <c r="G209" s="606"/>
      <c r="H209" s="375"/>
      <c r="I209" s="229" t="str">
        <f t="shared" si="47"/>
        <v/>
      </c>
      <c r="J209" s="230" t="str">
        <f t="shared" si="48"/>
        <v/>
      </c>
      <c r="K209" s="230" t="str">
        <f t="shared" si="49"/>
        <v/>
      </c>
      <c r="L209" s="231" t="str">
        <f t="shared" si="46"/>
        <v/>
      </c>
      <c r="M209" s="232" t="str">
        <f t="shared" si="50"/>
        <v/>
      </c>
      <c r="N209" s="384" t="str">
        <f t="shared" si="51"/>
        <v/>
      </c>
    </row>
    <row r="210" spans="2:14" s="110" customFormat="1" ht="15" x14ac:dyDescent="0.2">
      <c r="B210" s="371"/>
      <c r="C210" s="372"/>
      <c r="D210" s="373"/>
      <c r="E210" s="374"/>
      <c r="F210" s="374"/>
      <c r="G210" s="606"/>
      <c r="H210" s="375"/>
      <c r="I210" s="229" t="str">
        <f t="shared" si="47"/>
        <v/>
      </c>
      <c r="J210" s="230" t="str">
        <f t="shared" si="48"/>
        <v/>
      </c>
      <c r="K210" s="230" t="str">
        <f t="shared" si="49"/>
        <v/>
      </c>
      <c r="L210" s="231" t="str">
        <f t="shared" si="46"/>
        <v/>
      </c>
      <c r="M210" s="232" t="str">
        <f t="shared" si="50"/>
        <v/>
      </c>
      <c r="N210" s="384" t="str">
        <f t="shared" si="51"/>
        <v/>
      </c>
    </row>
    <row r="211" spans="2:14" s="110" customFormat="1" ht="15" x14ac:dyDescent="0.2">
      <c r="B211" s="371"/>
      <c r="C211" s="372"/>
      <c r="D211" s="373"/>
      <c r="E211" s="374"/>
      <c r="F211" s="374"/>
      <c r="G211" s="606"/>
      <c r="H211" s="375"/>
      <c r="I211" s="229" t="str">
        <f t="shared" si="47"/>
        <v/>
      </c>
      <c r="J211" s="230" t="str">
        <f t="shared" si="48"/>
        <v/>
      </c>
      <c r="K211" s="230" t="str">
        <f t="shared" si="49"/>
        <v/>
      </c>
      <c r="L211" s="231" t="str">
        <f t="shared" si="46"/>
        <v/>
      </c>
      <c r="M211" s="232" t="str">
        <f t="shared" si="50"/>
        <v/>
      </c>
      <c r="N211" s="384" t="str">
        <f t="shared" si="51"/>
        <v/>
      </c>
    </row>
    <row r="212" spans="2:14" s="110" customFormat="1" ht="15" x14ac:dyDescent="0.2">
      <c r="B212" s="371"/>
      <c r="C212" s="372"/>
      <c r="D212" s="373"/>
      <c r="E212" s="374"/>
      <c r="F212" s="374"/>
      <c r="G212" s="606"/>
      <c r="H212" s="375"/>
      <c r="I212" s="229" t="str">
        <f t="shared" si="47"/>
        <v/>
      </c>
      <c r="J212" s="230" t="str">
        <f t="shared" si="48"/>
        <v/>
      </c>
      <c r="K212" s="230" t="str">
        <f t="shared" si="49"/>
        <v/>
      </c>
      <c r="L212" s="231" t="str">
        <f t="shared" si="46"/>
        <v/>
      </c>
      <c r="M212" s="232" t="str">
        <f t="shared" si="50"/>
        <v/>
      </c>
      <c r="N212" s="384" t="str">
        <f t="shared" si="51"/>
        <v/>
      </c>
    </row>
    <row r="213" spans="2:14" s="110" customFormat="1" ht="15" x14ac:dyDescent="0.2">
      <c r="B213" s="371"/>
      <c r="C213" s="372"/>
      <c r="D213" s="373"/>
      <c r="E213" s="374"/>
      <c r="F213" s="374"/>
      <c r="G213" s="606"/>
      <c r="H213" s="375"/>
      <c r="I213" s="229" t="str">
        <f t="shared" si="47"/>
        <v/>
      </c>
      <c r="J213" s="230" t="str">
        <f t="shared" si="48"/>
        <v/>
      </c>
      <c r="K213" s="230" t="str">
        <f t="shared" si="49"/>
        <v/>
      </c>
      <c r="L213" s="231" t="str">
        <f t="shared" si="46"/>
        <v/>
      </c>
      <c r="M213" s="232" t="str">
        <f t="shared" si="50"/>
        <v/>
      </c>
      <c r="N213" s="384" t="str">
        <f t="shared" si="51"/>
        <v/>
      </c>
    </row>
    <row r="214" spans="2:14" s="110" customFormat="1" ht="15" x14ac:dyDescent="0.2">
      <c r="B214" s="371"/>
      <c r="C214" s="372"/>
      <c r="D214" s="373"/>
      <c r="E214" s="374"/>
      <c r="F214" s="374"/>
      <c r="G214" s="606"/>
      <c r="H214" s="375"/>
      <c r="I214" s="229" t="str">
        <f t="shared" si="47"/>
        <v/>
      </c>
      <c r="J214" s="230" t="str">
        <f t="shared" si="48"/>
        <v/>
      </c>
      <c r="K214" s="230" t="str">
        <f t="shared" si="49"/>
        <v/>
      </c>
      <c r="L214" s="231" t="str">
        <f t="shared" si="46"/>
        <v/>
      </c>
      <c r="M214" s="232" t="str">
        <f t="shared" si="50"/>
        <v/>
      </c>
      <c r="N214" s="384" t="str">
        <f t="shared" si="51"/>
        <v/>
      </c>
    </row>
    <row r="215" spans="2:14" s="110" customFormat="1" ht="15" x14ac:dyDescent="0.2">
      <c r="B215" s="371"/>
      <c r="C215" s="372"/>
      <c r="D215" s="373"/>
      <c r="E215" s="374"/>
      <c r="F215" s="374"/>
      <c r="G215" s="606"/>
      <c r="H215" s="375"/>
      <c r="I215" s="229" t="str">
        <f t="shared" si="47"/>
        <v/>
      </c>
      <c r="J215" s="230" t="str">
        <f t="shared" si="48"/>
        <v/>
      </c>
      <c r="K215" s="230" t="str">
        <f t="shared" si="49"/>
        <v/>
      </c>
      <c r="L215" s="231" t="str">
        <f t="shared" si="46"/>
        <v/>
      </c>
      <c r="M215" s="232" t="str">
        <f t="shared" si="50"/>
        <v/>
      </c>
      <c r="N215" s="384" t="str">
        <f t="shared" si="51"/>
        <v/>
      </c>
    </row>
    <row r="216" spans="2:14" s="110" customFormat="1" ht="15" x14ac:dyDescent="0.2">
      <c r="B216" s="371"/>
      <c r="C216" s="372"/>
      <c r="D216" s="373"/>
      <c r="E216" s="374"/>
      <c r="F216" s="374"/>
      <c r="G216" s="606"/>
      <c r="H216" s="375"/>
      <c r="I216" s="229" t="str">
        <f t="shared" si="47"/>
        <v/>
      </c>
      <c r="J216" s="230" t="str">
        <f t="shared" si="48"/>
        <v/>
      </c>
      <c r="K216" s="230" t="str">
        <f t="shared" si="49"/>
        <v/>
      </c>
      <c r="L216" s="231" t="str">
        <f t="shared" si="46"/>
        <v/>
      </c>
      <c r="M216" s="232" t="str">
        <f t="shared" si="50"/>
        <v/>
      </c>
      <c r="N216" s="384" t="str">
        <f t="shared" si="51"/>
        <v/>
      </c>
    </row>
    <row r="217" spans="2:14" s="110" customFormat="1" ht="15" x14ac:dyDescent="0.2">
      <c r="B217" s="371"/>
      <c r="C217" s="372"/>
      <c r="D217" s="373"/>
      <c r="E217" s="374"/>
      <c r="F217" s="374"/>
      <c r="G217" s="606"/>
      <c r="H217" s="375"/>
      <c r="I217" s="229" t="str">
        <f t="shared" si="47"/>
        <v/>
      </c>
      <c r="J217" s="230" t="str">
        <f t="shared" si="48"/>
        <v/>
      </c>
      <c r="K217" s="230" t="str">
        <f t="shared" si="49"/>
        <v/>
      </c>
      <c r="L217" s="231" t="str">
        <f t="shared" si="46"/>
        <v/>
      </c>
      <c r="M217" s="232" t="str">
        <f t="shared" si="50"/>
        <v/>
      </c>
      <c r="N217" s="384" t="str">
        <f t="shared" si="51"/>
        <v/>
      </c>
    </row>
    <row r="218" spans="2:14" s="110" customFormat="1" ht="15" x14ac:dyDescent="0.2">
      <c r="B218" s="371"/>
      <c r="C218" s="372"/>
      <c r="D218" s="373"/>
      <c r="E218" s="374"/>
      <c r="F218" s="374"/>
      <c r="G218" s="606"/>
      <c r="H218" s="375"/>
      <c r="I218" s="229" t="str">
        <f t="shared" si="47"/>
        <v/>
      </c>
      <c r="J218" s="230" t="str">
        <f t="shared" si="48"/>
        <v/>
      </c>
      <c r="K218" s="230" t="str">
        <f t="shared" si="49"/>
        <v/>
      </c>
      <c r="L218" s="231" t="str">
        <f t="shared" si="46"/>
        <v/>
      </c>
      <c r="M218" s="232" t="str">
        <f t="shared" si="50"/>
        <v/>
      </c>
      <c r="N218" s="384" t="str">
        <f t="shared" si="51"/>
        <v/>
      </c>
    </row>
    <row r="219" spans="2:14" s="110" customFormat="1" ht="15" x14ac:dyDescent="0.2">
      <c r="B219" s="371"/>
      <c r="C219" s="372"/>
      <c r="D219" s="373"/>
      <c r="E219" s="374"/>
      <c r="F219" s="374"/>
      <c r="G219" s="606"/>
      <c r="H219" s="375"/>
      <c r="I219" s="229" t="str">
        <f t="shared" si="47"/>
        <v/>
      </c>
      <c r="J219" s="230" t="str">
        <f t="shared" si="48"/>
        <v/>
      </c>
      <c r="K219" s="230" t="str">
        <f t="shared" si="49"/>
        <v/>
      </c>
      <c r="L219" s="231" t="str">
        <f t="shared" si="46"/>
        <v/>
      </c>
      <c r="M219" s="232" t="str">
        <f t="shared" si="50"/>
        <v/>
      </c>
      <c r="N219" s="384" t="str">
        <f t="shared" si="51"/>
        <v/>
      </c>
    </row>
    <row r="220" spans="2:14" s="110" customFormat="1" ht="15" x14ac:dyDescent="0.2">
      <c r="B220" s="371"/>
      <c r="C220" s="372"/>
      <c r="D220" s="373"/>
      <c r="E220" s="374"/>
      <c r="F220" s="374"/>
      <c r="G220" s="606"/>
      <c r="H220" s="375"/>
      <c r="I220" s="229" t="str">
        <f t="shared" si="47"/>
        <v/>
      </c>
      <c r="J220" s="230" t="str">
        <f t="shared" si="48"/>
        <v/>
      </c>
      <c r="K220" s="230" t="str">
        <f t="shared" si="49"/>
        <v/>
      </c>
      <c r="L220" s="231" t="str">
        <f t="shared" si="46"/>
        <v/>
      </c>
      <c r="M220" s="232" t="str">
        <f t="shared" si="50"/>
        <v/>
      </c>
      <c r="N220" s="384" t="str">
        <f t="shared" si="51"/>
        <v/>
      </c>
    </row>
    <row r="221" spans="2:14" s="110" customFormat="1" ht="15" x14ac:dyDescent="0.2">
      <c r="B221" s="371"/>
      <c r="C221" s="372"/>
      <c r="D221" s="373"/>
      <c r="E221" s="374"/>
      <c r="F221" s="374"/>
      <c r="G221" s="606"/>
      <c r="H221" s="375"/>
      <c r="I221" s="229" t="str">
        <f t="shared" si="47"/>
        <v/>
      </c>
      <c r="J221" s="230" t="str">
        <f t="shared" si="48"/>
        <v/>
      </c>
      <c r="K221" s="230" t="str">
        <f t="shared" si="49"/>
        <v/>
      </c>
      <c r="L221" s="231" t="str">
        <f t="shared" si="46"/>
        <v/>
      </c>
      <c r="M221" s="232" t="str">
        <f t="shared" si="50"/>
        <v/>
      </c>
      <c r="N221" s="384" t="str">
        <f t="shared" si="51"/>
        <v/>
      </c>
    </row>
    <row r="222" spans="2:14" s="110" customFormat="1" ht="15" x14ac:dyDescent="0.2">
      <c r="B222" s="371"/>
      <c r="C222" s="372"/>
      <c r="D222" s="373"/>
      <c r="E222" s="374"/>
      <c r="F222" s="374"/>
      <c r="G222" s="606"/>
      <c r="H222" s="375"/>
      <c r="I222" s="229" t="str">
        <f t="shared" si="47"/>
        <v/>
      </c>
      <c r="J222" s="230" t="str">
        <f t="shared" si="48"/>
        <v/>
      </c>
      <c r="K222" s="230" t="str">
        <f t="shared" si="49"/>
        <v/>
      </c>
      <c r="L222" s="231" t="str">
        <f t="shared" si="46"/>
        <v/>
      </c>
      <c r="M222" s="232" t="str">
        <f t="shared" si="50"/>
        <v/>
      </c>
      <c r="N222" s="384" t="str">
        <f t="shared" si="51"/>
        <v/>
      </c>
    </row>
    <row r="223" spans="2:14" s="110" customFormat="1" ht="15" x14ac:dyDescent="0.2">
      <c r="B223" s="371"/>
      <c r="C223" s="372"/>
      <c r="D223" s="373"/>
      <c r="E223" s="374"/>
      <c r="F223" s="374"/>
      <c r="G223" s="606"/>
      <c r="H223" s="375"/>
      <c r="I223" s="229" t="str">
        <f t="shared" si="47"/>
        <v/>
      </c>
      <c r="J223" s="230" t="str">
        <f t="shared" si="48"/>
        <v/>
      </c>
      <c r="K223" s="230" t="str">
        <f t="shared" si="49"/>
        <v/>
      </c>
      <c r="L223" s="231" t="str">
        <f t="shared" si="46"/>
        <v/>
      </c>
      <c r="M223" s="232" t="str">
        <f t="shared" si="50"/>
        <v/>
      </c>
      <c r="N223" s="384" t="str">
        <f t="shared" si="51"/>
        <v/>
      </c>
    </row>
    <row r="224" spans="2:14" s="110" customFormat="1" ht="15" x14ac:dyDescent="0.2">
      <c r="B224" s="371"/>
      <c r="C224" s="372"/>
      <c r="D224" s="373"/>
      <c r="E224" s="374"/>
      <c r="F224" s="374"/>
      <c r="G224" s="606"/>
      <c r="H224" s="375"/>
      <c r="I224" s="229" t="str">
        <f t="shared" si="47"/>
        <v/>
      </c>
      <c r="J224" s="230" t="str">
        <f t="shared" si="48"/>
        <v/>
      </c>
      <c r="K224" s="230" t="str">
        <f t="shared" si="49"/>
        <v/>
      </c>
      <c r="L224" s="231" t="str">
        <f t="shared" si="46"/>
        <v/>
      </c>
      <c r="M224" s="232" t="str">
        <f t="shared" si="50"/>
        <v/>
      </c>
      <c r="N224" s="384" t="str">
        <f t="shared" si="51"/>
        <v/>
      </c>
    </row>
    <row r="225" spans="1:14" s="110" customFormat="1" ht="15" x14ac:dyDescent="0.2">
      <c r="B225" s="371"/>
      <c r="C225" s="372"/>
      <c r="D225" s="373"/>
      <c r="E225" s="374"/>
      <c r="F225" s="374"/>
      <c r="G225" s="606"/>
      <c r="H225" s="375"/>
      <c r="I225" s="229" t="str">
        <f t="shared" si="47"/>
        <v/>
      </c>
      <c r="J225" s="230" t="str">
        <f t="shared" si="48"/>
        <v/>
      </c>
      <c r="K225" s="230" t="str">
        <f t="shared" si="49"/>
        <v/>
      </c>
      <c r="L225" s="231" t="str">
        <f t="shared" si="46"/>
        <v/>
      </c>
      <c r="M225" s="232" t="str">
        <f t="shared" si="50"/>
        <v/>
      </c>
      <c r="N225" s="384" t="str">
        <f t="shared" si="51"/>
        <v/>
      </c>
    </row>
    <row r="226" spans="1:14" s="110" customFormat="1" ht="15" x14ac:dyDescent="0.2">
      <c r="B226" s="371"/>
      <c r="C226" s="372"/>
      <c r="D226" s="373"/>
      <c r="E226" s="374"/>
      <c r="F226" s="374"/>
      <c r="G226" s="606"/>
      <c r="H226" s="375"/>
      <c r="I226" s="229" t="str">
        <f t="shared" si="47"/>
        <v/>
      </c>
      <c r="J226" s="230" t="str">
        <f t="shared" si="48"/>
        <v/>
      </c>
      <c r="K226" s="230" t="str">
        <f t="shared" si="49"/>
        <v/>
      </c>
      <c r="L226" s="231" t="str">
        <f t="shared" si="46"/>
        <v/>
      </c>
      <c r="M226" s="232" t="str">
        <f t="shared" si="50"/>
        <v/>
      </c>
      <c r="N226" s="384" t="str">
        <f t="shared" si="51"/>
        <v/>
      </c>
    </row>
    <row r="227" spans="1:14" s="110" customFormat="1" ht="15" x14ac:dyDescent="0.2">
      <c r="B227" s="371"/>
      <c r="C227" s="372"/>
      <c r="D227" s="373"/>
      <c r="E227" s="374"/>
      <c r="F227" s="374"/>
      <c r="G227" s="606"/>
      <c r="H227" s="375"/>
      <c r="I227" s="229" t="str">
        <f t="shared" si="47"/>
        <v/>
      </c>
      <c r="J227" s="230" t="str">
        <f t="shared" si="48"/>
        <v/>
      </c>
      <c r="K227" s="230" t="str">
        <f t="shared" si="49"/>
        <v/>
      </c>
      <c r="L227" s="231" t="str">
        <f t="shared" si="46"/>
        <v/>
      </c>
      <c r="M227" s="232" t="str">
        <f t="shared" si="50"/>
        <v/>
      </c>
      <c r="N227" s="384" t="str">
        <f t="shared" si="51"/>
        <v/>
      </c>
    </row>
    <row r="228" spans="1:14" s="110" customFormat="1" ht="15" x14ac:dyDescent="0.2">
      <c r="B228" s="371"/>
      <c r="C228" s="372"/>
      <c r="D228" s="373"/>
      <c r="E228" s="374"/>
      <c r="F228" s="374"/>
      <c r="G228" s="606"/>
      <c r="H228" s="375"/>
      <c r="I228" s="229" t="str">
        <f t="shared" si="47"/>
        <v/>
      </c>
      <c r="J228" s="230" t="str">
        <f t="shared" si="48"/>
        <v/>
      </c>
      <c r="K228" s="230" t="str">
        <f t="shared" si="49"/>
        <v/>
      </c>
      <c r="L228" s="231" t="str">
        <f t="shared" si="46"/>
        <v/>
      </c>
      <c r="M228" s="232" t="str">
        <f t="shared" si="50"/>
        <v/>
      </c>
      <c r="N228" s="384" t="str">
        <f t="shared" si="51"/>
        <v/>
      </c>
    </row>
    <row r="229" spans="1:14" s="110" customFormat="1" ht="15" x14ac:dyDescent="0.2">
      <c r="B229" s="371"/>
      <c r="C229" s="372"/>
      <c r="D229" s="373"/>
      <c r="E229" s="374"/>
      <c r="F229" s="374"/>
      <c r="G229" s="606"/>
      <c r="H229" s="375"/>
      <c r="I229" s="229" t="str">
        <f t="shared" si="47"/>
        <v/>
      </c>
      <c r="J229" s="230" t="str">
        <f t="shared" si="48"/>
        <v/>
      </c>
      <c r="K229" s="230" t="str">
        <f t="shared" si="49"/>
        <v/>
      </c>
      <c r="L229" s="231" t="str">
        <f t="shared" si="46"/>
        <v/>
      </c>
      <c r="M229" s="232" t="str">
        <f t="shared" si="50"/>
        <v/>
      </c>
      <c r="N229" s="384" t="str">
        <f t="shared" si="51"/>
        <v/>
      </c>
    </row>
    <row r="230" spans="1:14" s="110" customFormat="1" ht="15" x14ac:dyDescent="0.2">
      <c r="B230" s="371"/>
      <c r="C230" s="372"/>
      <c r="D230" s="373"/>
      <c r="E230" s="374"/>
      <c r="F230" s="374"/>
      <c r="G230" s="606"/>
      <c r="H230" s="375"/>
      <c r="I230" s="229" t="str">
        <f t="shared" si="47"/>
        <v/>
      </c>
      <c r="J230" s="230" t="str">
        <f t="shared" si="48"/>
        <v/>
      </c>
      <c r="K230" s="230" t="str">
        <f t="shared" si="49"/>
        <v/>
      </c>
      <c r="L230" s="231" t="str">
        <f t="shared" si="46"/>
        <v/>
      </c>
      <c r="M230" s="232" t="str">
        <f t="shared" si="50"/>
        <v/>
      </c>
      <c r="N230" s="384" t="str">
        <f t="shared" si="51"/>
        <v/>
      </c>
    </row>
    <row r="231" spans="1:14" s="110" customFormat="1" ht="15" x14ac:dyDescent="0.2">
      <c r="B231" s="371"/>
      <c r="C231" s="372"/>
      <c r="D231" s="373"/>
      <c r="E231" s="374"/>
      <c r="F231" s="374"/>
      <c r="G231" s="606"/>
      <c r="H231" s="375"/>
      <c r="I231" s="229" t="str">
        <f t="shared" si="47"/>
        <v/>
      </c>
      <c r="J231" s="230" t="str">
        <f t="shared" si="48"/>
        <v/>
      </c>
      <c r="K231" s="230" t="str">
        <f t="shared" si="49"/>
        <v/>
      </c>
      <c r="L231" s="231" t="str">
        <f t="shared" si="46"/>
        <v/>
      </c>
      <c r="M231" s="232" t="str">
        <f t="shared" si="50"/>
        <v/>
      </c>
      <c r="N231" s="384" t="str">
        <f t="shared" si="51"/>
        <v/>
      </c>
    </row>
    <row r="232" spans="1:14" s="110" customFormat="1" ht="15" x14ac:dyDescent="0.2">
      <c r="B232" s="234"/>
      <c r="C232" s="235"/>
      <c r="D232" s="236"/>
      <c r="E232" s="237"/>
      <c r="F232" s="237"/>
      <c r="G232" s="607"/>
      <c r="H232" s="238"/>
      <c r="I232" s="238"/>
      <c r="J232" s="239"/>
      <c r="K232" s="240"/>
      <c r="L232" s="240"/>
      <c r="M232" s="232" t="str">
        <f t="shared" ref="M232" si="52">IFERROR(ROUND(E232/G232,2),"")</f>
        <v/>
      </c>
      <c r="N232" s="233" t="str">
        <f t="shared" ref="N232" si="53">IFERROR(ROUND(F232/E232,4),"")</f>
        <v/>
      </c>
    </row>
    <row r="233" spans="1:14" s="110" customFormat="1" ht="15.75" thickBot="1" x14ac:dyDescent="0.25">
      <c r="B233" s="241"/>
      <c r="C233" s="242"/>
      <c r="D233" s="243" t="s">
        <v>38</v>
      </c>
      <c r="E233" s="244">
        <f>SUM(E202:E232)</f>
        <v>0</v>
      </c>
      <c r="F233" s="244">
        <f>SUM(F202:F232)</f>
        <v>0</v>
      </c>
      <c r="G233" s="608">
        <f>SUM(G202:G232)</f>
        <v>0</v>
      </c>
      <c r="H233" s="246"/>
      <c r="I233" s="245">
        <f>SUM(I202:I232)</f>
        <v>0</v>
      </c>
      <c r="J233" s="244">
        <f>SUM(J202:J232)</f>
        <v>0</v>
      </c>
      <c r="K233" s="244">
        <f>SUM(K202:K232)</f>
        <v>0</v>
      </c>
      <c r="L233" s="244">
        <f>SUM(L202:L232)</f>
        <v>0</v>
      </c>
      <c r="M233" s="247" t="str">
        <f>IFERROR(ROUND(E233/G233,2),"")</f>
        <v/>
      </c>
      <c r="N233" s="248" t="str">
        <f>IFERROR(ROUND(F233/E233,4),"")</f>
        <v/>
      </c>
    </row>
    <row r="234" spans="1:14" s="110" customFormat="1" ht="15.75" thickBot="1" x14ac:dyDescent="0.25">
      <c r="B234" s="271"/>
      <c r="C234" s="271"/>
      <c r="D234" s="271"/>
      <c r="E234" s="272"/>
      <c r="F234" s="272"/>
      <c r="G234" s="273"/>
      <c r="H234" s="274"/>
      <c r="I234" s="274"/>
      <c r="J234" s="272"/>
      <c r="K234" s="272"/>
      <c r="L234" s="272"/>
      <c r="M234" s="275"/>
      <c r="N234" s="276"/>
    </row>
    <row r="235" spans="1:14" ht="15.75" x14ac:dyDescent="0.25">
      <c r="A235" s="108">
        <v>7</v>
      </c>
      <c r="B235" s="644"/>
      <c r="C235" s="645"/>
      <c r="D235" s="645"/>
      <c r="E235" s="645"/>
      <c r="F235" s="645"/>
      <c r="G235" s="645"/>
      <c r="H235" s="645"/>
      <c r="I235" s="645"/>
      <c r="J235" s="645"/>
      <c r="K235" s="645"/>
      <c r="L235" s="645"/>
      <c r="M235" s="645"/>
      <c r="N235" s="646"/>
    </row>
    <row r="236" spans="1:14" ht="15.75" x14ac:dyDescent="0.25">
      <c r="B236" s="253" t="s">
        <v>162</v>
      </c>
      <c r="C236" s="254"/>
      <c r="D236" s="255"/>
      <c r="E236" s="256"/>
      <c r="F236" s="256"/>
      <c r="G236" s="257"/>
      <c r="H236" s="258"/>
      <c r="I236" s="258"/>
      <c r="J236" s="259"/>
      <c r="K236" s="260"/>
      <c r="L236" s="256"/>
      <c r="M236" s="261"/>
      <c r="N236" s="262"/>
    </row>
    <row r="237" spans="1:14" ht="15.75" x14ac:dyDescent="0.25">
      <c r="B237" s="377"/>
      <c r="C237" s="254"/>
      <c r="D237" s="255"/>
      <c r="E237" s="256"/>
      <c r="F237" s="256"/>
      <c r="G237" s="257"/>
      <c r="H237" s="258"/>
      <c r="I237" s="258"/>
      <c r="J237" s="259"/>
      <c r="K237" s="260"/>
      <c r="L237" s="256"/>
      <c r="M237" s="261"/>
      <c r="N237" s="262"/>
    </row>
    <row r="238" spans="1:14" ht="16.5" thickBot="1" x14ac:dyDescent="0.3">
      <c r="B238" s="213"/>
      <c r="C238" s="256"/>
      <c r="D238" s="379"/>
      <c r="E238" s="207"/>
      <c r="F238" s="207"/>
      <c r="G238" s="207"/>
      <c r="H238" s="208"/>
      <c r="I238" s="258"/>
      <c r="J238" s="259"/>
      <c r="K238" s="380"/>
      <c r="L238" s="256"/>
      <c r="M238" s="261"/>
      <c r="N238" s="262"/>
    </row>
    <row r="239" spans="1:14" ht="15" x14ac:dyDescent="0.2">
      <c r="B239" s="381" t="s">
        <v>144</v>
      </c>
      <c r="C239" s="216" t="s">
        <v>145</v>
      </c>
      <c r="D239" s="216" t="s">
        <v>146</v>
      </c>
      <c r="E239" s="216" t="s">
        <v>147</v>
      </c>
      <c r="F239" s="217" t="s">
        <v>148</v>
      </c>
      <c r="G239" s="216" t="s">
        <v>157</v>
      </c>
      <c r="H239" s="217" t="s">
        <v>149</v>
      </c>
      <c r="I239" s="216" t="s">
        <v>150</v>
      </c>
      <c r="J239" s="218" t="s">
        <v>151</v>
      </c>
      <c r="K239" s="218" t="s">
        <v>158</v>
      </c>
      <c r="L239" s="218" t="s">
        <v>168</v>
      </c>
      <c r="M239" s="219" t="s">
        <v>219</v>
      </c>
      <c r="N239" s="382" t="s">
        <v>220</v>
      </c>
    </row>
    <row r="240" spans="1:14" ht="90" x14ac:dyDescent="0.2">
      <c r="B240" s="220" t="s">
        <v>152</v>
      </c>
      <c r="C240" s="221" t="s">
        <v>264</v>
      </c>
      <c r="D240" s="222" t="s">
        <v>164</v>
      </c>
      <c r="E240" s="600" t="s">
        <v>161</v>
      </c>
      <c r="F240" s="601" t="s">
        <v>154</v>
      </c>
      <c r="G240" s="223" t="s">
        <v>174</v>
      </c>
      <c r="H240" s="223" t="s">
        <v>155</v>
      </c>
      <c r="I240" s="223" t="s">
        <v>261</v>
      </c>
      <c r="J240" s="223" t="s">
        <v>153</v>
      </c>
      <c r="K240" s="222" t="s">
        <v>156</v>
      </c>
      <c r="L240" s="222" t="s">
        <v>159</v>
      </c>
      <c r="M240" s="224" t="s">
        <v>167</v>
      </c>
      <c r="N240" s="383" t="s">
        <v>166</v>
      </c>
    </row>
    <row r="241" spans="2:14" ht="15.75" x14ac:dyDescent="0.25">
      <c r="B241" s="225"/>
      <c r="C241" s="226" t="s">
        <v>162</v>
      </c>
      <c r="D241" s="222" t="s">
        <v>165</v>
      </c>
      <c r="E241" s="227"/>
      <c r="F241" s="228"/>
      <c r="G241" s="605"/>
      <c r="H241" s="223"/>
      <c r="I241" s="223"/>
      <c r="J241" s="222"/>
      <c r="K241" s="222"/>
      <c r="L241" s="222"/>
      <c r="M241" s="224"/>
      <c r="N241" s="383"/>
    </row>
    <row r="242" spans="2:14" s="110" customFormat="1" ht="15" x14ac:dyDescent="0.2">
      <c r="B242" s="371"/>
      <c r="C242" s="372"/>
      <c r="D242" s="373"/>
      <c r="E242" s="374"/>
      <c r="F242" s="374"/>
      <c r="G242" s="606"/>
      <c r="H242" s="375"/>
      <c r="I242" s="229" t="str">
        <f>IF(ISBLANK(G242),"",(ROUND(G242*H242,2)))</f>
        <v/>
      </c>
      <c r="J242" s="230" t="str">
        <f>IF(ISBLANK(E242),"",(ROUND(E242*H242,0)))</f>
        <v/>
      </c>
      <c r="K242" s="230" t="str">
        <f>IF(ISBLANK(F242),"",(ROUND(F242*H242,0)))</f>
        <v/>
      </c>
      <c r="L242" s="231" t="str">
        <f t="shared" ref="L242:L271" si="54">IFERROR(IF(C242="contract labor",J242,(ROUND(J242+K242,0))),"")</f>
        <v/>
      </c>
      <c r="M242" s="232" t="str">
        <f>IFERROR(ROUND(E242/G242,2),"")</f>
        <v/>
      </c>
      <c r="N242" s="384" t="str">
        <f>IFERROR(ROUND(F242/E242,4),"")</f>
        <v/>
      </c>
    </row>
    <row r="243" spans="2:14" s="110" customFormat="1" ht="15" x14ac:dyDescent="0.2">
      <c r="B243" s="371"/>
      <c r="C243" s="372"/>
      <c r="D243" s="373"/>
      <c r="E243" s="374"/>
      <c r="F243" s="374"/>
      <c r="G243" s="606"/>
      <c r="H243" s="375"/>
      <c r="I243" s="229" t="str">
        <f t="shared" ref="I243:I271" si="55">IF(ISBLANK(G243),"",(ROUND(G243*H243,2)))</f>
        <v/>
      </c>
      <c r="J243" s="230" t="str">
        <f t="shared" ref="J243:J271" si="56">IF(ISBLANK(E243),"",(ROUND(E243*H243,0)))</f>
        <v/>
      </c>
      <c r="K243" s="230" t="str">
        <f t="shared" ref="K243:K271" si="57">IF(ISBLANK(F243),"",(ROUND(F243*H243,0)))</f>
        <v/>
      </c>
      <c r="L243" s="231" t="str">
        <f t="shared" si="54"/>
        <v/>
      </c>
      <c r="M243" s="232" t="str">
        <f t="shared" ref="M243:M271" si="58">IFERROR(ROUND(E243/G243,2),"")</f>
        <v/>
      </c>
      <c r="N243" s="384" t="str">
        <f t="shared" ref="N243:N271" si="59">IFERROR(ROUND(F243/E243,4),"")</f>
        <v/>
      </c>
    </row>
    <row r="244" spans="2:14" s="110" customFormat="1" ht="15" x14ac:dyDescent="0.2">
      <c r="B244" s="371"/>
      <c r="C244" s="372"/>
      <c r="D244" s="373"/>
      <c r="E244" s="374"/>
      <c r="F244" s="374"/>
      <c r="G244" s="606"/>
      <c r="H244" s="375"/>
      <c r="I244" s="229" t="str">
        <f t="shared" si="55"/>
        <v/>
      </c>
      <c r="J244" s="230" t="str">
        <f t="shared" si="56"/>
        <v/>
      </c>
      <c r="K244" s="230" t="str">
        <f t="shared" si="57"/>
        <v/>
      </c>
      <c r="L244" s="231" t="str">
        <f t="shared" si="54"/>
        <v/>
      </c>
      <c r="M244" s="232" t="str">
        <f t="shared" si="58"/>
        <v/>
      </c>
      <c r="N244" s="384" t="str">
        <f t="shared" si="59"/>
        <v/>
      </c>
    </row>
    <row r="245" spans="2:14" s="110" customFormat="1" ht="15" x14ac:dyDescent="0.2">
      <c r="B245" s="371"/>
      <c r="C245" s="372"/>
      <c r="D245" s="373"/>
      <c r="E245" s="374"/>
      <c r="F245" s="374"/>
      <c r="G245" s="606"/>
      <c r="H245" s="375"/>
      <c r="I245" s="229" t="str">
        <f t="shared" si="55"/>
        <v/>
      </c>
      <c r="J245" s="230" t="str">
        <f t="shared" si="56"/>
        <v/>
      </c>
      <c r="K245" s="230" t="str">
        <f t="shared" si="57"/>
        <v/>
      </c>
      <c r="L245" s="231" t="str">
        <f t="shared" si="54"/>
        <v/>
      </c>
      <c r="M245" s="232" t="str">
        <f t="shared" si="58"/>
        <v/>
      </c>
      <c r="N245" s="384" t="str">
        <f t="shared" si="59"/>
        <v/>
      </c>
    </row>
    <row r="246" spans="2:14" s="110" customFormat="1" ht="15" x14ac:dyDescent="0.2">
      <c r="B246" s="371"/>
      <c r="C246" s="372"/>
      <c r="D246" s="373"/>
      <c r="E246" s="374"/>
      <c r="F246" s="374"/>
      <c r="G246" s="606"/>
      <c r="H246" s="375"/>
      <c r="I246" s="229" t="str">
        <f t="shared" si="55"/>
        <v/>
      </c>
      <c r="J246" s="230" t="str">
        <f t="shared" si="56"/>
        <v/>
      </c>
      <c r="K246" s="230" t="str">
        <f t="shared" si="57"/>
        <v/>
      </c>
      <c r="L246" s="231" t="str">
        <f t="shared" si="54"/>
        <v/>
      </c>
      <c r="M246" s="232" t="str">
        <f t="shared" si="58"/>
        <v/>
      </c>
      <c r="N246" s="384" t="str">
        <f t="shared" si="59"/>
        <v/>
      </c>
    </row>
    <row r="247" spans="2:14" s="110" customFormat="1" ht="15" x14ac:dyDescent="0.2">
      <c r="B247" s="371"/>
      <c r="C247" s="372"/>
      <c r="D247" s="373"/>
      <c r="E247" s="374"/>
      <c r="F247" s="374"/>
      <c r="G247" s="606"/>
      <c r="H247" s="375"/>
      <c r="I247" s="229" t="str">
        <f t="shared" si="55"/>
        <v/>
      </c>
      <c r="J247" s="230" t="str">
        <f t="shared" si="56"/>
        <v/>
      </c>
      <c r="K247" s="230" t="str">
        <f t="shared" si="57"/>
        <v/>
      </c>
      <c r="L247" s="231" t="str">
        <f t="shared" si="54"/>
        <v/>
      </c>
      <c r="M247" s="232" t="str">
        <f t="shared" si="58"/>
        <v/>
      </c>
      <c r="N247" s="384" t="str">
        <f t="shared" si="59"/>
        <v/>
      </c>
    </row>
    <row r="248" spans="2:14" s="110" customFormat="1" ht="15" x14ac:dyDescent="0.2">
      <c r="B248" s="371"/>
      <c r="C248" s="372"/>
      <c r="D248" s="373"/>
      <c r="E248" s="374"/>
      <c r="F248" s="374"/>
      <c r="G248" s="606"/>
      <c r="H248" s="375"/>
      <c r="I248" s="229" t="str">
        <f t="shared" si="55"/>
        <v/>
      </c>
      <c r="J248" s="230" t="str">
        <f t="shared" si="56"/>
        <v/>
      </c>
      <c r="K248" s="230" t="str">
        <f t="shared" si="57"/>
        <v/>
      </c>
      <c r="L248" s="231" t="str">
        <f t="shared" si="54"/>
        <v/>
      </c>
      <c r="M248" s="232" t="str">
        <f t="shared" si="58"/>
        <v/>
      </c>
      <c r="N248" s="384" t="str">
        <f t="shared" si="59"/>
        <v/>
      </c>
    </row>
    <row r="249" spans="2:14" s="110" customFormat="1" ht="15" x14ac:dyDescent="0.2">
      <c r="B249" s="371"/>
      <c r="C249" s="372"/>
      <c r="D249" s="373"/>
      <c r="E249" s="374"/>
      <c r="F249" s="374"/>
      <c r="G249" s="606"/>
      <c r="H249" s="375"/>
      <c r="I249" s="229" t="str">
        <f t="shared" si="55"/>
        <v/>
      </c>
      <c r="J249" s="230" t="str">
        <f t="shared" si="56"/>
        <v/>
      </c>
      <c r="K249" s="230" t="str">
        <f t="shared" si="57"/>
        <v/>
      </c>
      <c r="L249" s="231" t="str">
        <f t="shared" si="54"/>
        <v/>
      </c>
      <c r="M249" s="232" t="str">
        <f t="shared" si="58"/>
        <v/>
      </c>
      <c r="N249" s="384" t="str">
        <f t="shared" si="59"/>
        <v/>
      </c>
    </row>
    <row r="250" spans="2:14" s="110" customFormat="1" ht="15" x14ac:dyDescent="0.2">
      <c r="B250" s="371"/>
      <c r="C250" s="372"/>
      <c r="D250" s="373"/>
      <c r="E250" s="374"/>
      <c r="F250" s="374"/>
      <c r="G250" s="606"/>
      <c r="H250" s="375"/>
      <c r="I250" s="229" t="str">
        <f t="shared" si="55"/>
        <v/>
      </c>
      <c r="J250" s="230" t="str">
        <f t="shared" si="56"/>
        <v/>
      </c>
      <c r="K250" s="230" t="str">
        <f t="shared" si="57"/>
        <v/>
      </c>
      <c r="L250" s="231" t="str">
        <f t="shared" si="54"/>
        <v/>
      </c>
      <c r="M250" s="232" t="str">
        <f t="shared" si="58"/>
        <v/>
      </c>
      <c r="N250" s="384" t="str">
        <f t="shared" si="59"/>
        <v/>
      </c>
    </row>
    <row r="251" spans="2:14" s="110" customFormat="1" ht="15" x14ac:dyDescent="0.2">
      <c r="B251" s="371"/>
      <c r="C251" s="372"/>
      <c r="D251" s="373"/>
      <c r="E251" s="374"/>
      <c r="F251" s="374"/>
      <c r="G251" s="606"/>
      <c r="H251" s="375"/>
      <c r="I251" s="229" t="str">
        <f t="shared" si="55"/>
        <v/>
      </c>
      <c r="J251" s="230" t="str">
        <f t="shared" si="56"/>
        <v/>
      </c>
      <c r="K251" s="230" t="str">
        <f t="shared" si="57"/>
        <v/>
      </c>
      <c r="L251" s="231" t="str">
        <f t="shared" si="54"/>
        <v/>
      </c>
      <c r="M251" s="232" t="str">
        <f t="shared" si="58"/>
        <v/>
      </c>
      <c r="N251" s="384" t="str">
        <f t="shared" si="59"/>
        <v/>
      </c>
    </row>
    <row r="252" spans="2:14" s="110" customFormat="1" ht="15" x14ac:dyDescent="0.2">
      <c r="B252" s="371"/>
      <c r="C252" s="372"/>
      <c r="D252" s="373"/>
      <c r="E252" s="374"/>
      <c r="F252" s="374"/>
      <c r="G252" s="606"/>
      <c r="H252" s="375"/>
      <c r="I252" s="229" t="str">
        <f t="shared" si="55"/>
        <v/>
      </c>
      <c r="J252" s="230" t="str">
        <f t="shared" si="56"/>
        <v/>
      </c>
      <c r="K252" s="230" t="str">
        <f t="shared" si="57"/>
        <v/>
      </c>
      <c r="L252" s="231" t="str">
        <f t="shared" si="54"/>
        <v/>
      </c>
      <c r="M252" s="232" t="str">
        <f t="shared" si="58"/>
        <v/>
      </c>
      <c r="N252" s="384" t="str">
        <f t="shared" si="59"/>
        <v/>
      </c>
    </row>
    <row r="253" spans="2:14" s="110" customFormat="1" ht="15" x14ac:dyDescent="0.2">
      <c r="B253" s="371"/>
      <c r="C253" s="372"/>
      <c r="D253" s="373"/>
      <c r="E253" s="374"/>
      <c r="F253" s="374"/>
      <c r="G253" s="606"/>
      <c r="H253" s="375"/>
      <c r="I253" s="229" t="str">
        <f t="shared" si="55"/>
        <v/>
      </c>
      <c r="J253" s="230" t="str">
        <f t="shared" si="56"/>
        <v/>
      </c>
      <c r="K253" s="230" t="str">
        <f t="shared" si="57"/>
        <v/>
      </c>
      <c r="L253" s="231" t="str">
        <f t="shared" si="54"/>
        <v/>
      </c>
      <c r="M253" s="232" t="str">
        <f t="shared" si="58"/>
        <v/>
      </c>
      <c r="N253" s="384" t="str">
        <f t="shared" si="59"/>
        <v/>
      </c>
    </row>
    <row r="254" spans="2:14" s="110" customFormat="1" ht="15" x14ac:dyDescent="0.2">
      <c r="B254" s="371"/>
      <c r="C254" s="372"/>
      <c r="D254" s="373"/>
      <c r="E254" s="374"/>
      <c r="F254" s="374"/>
      <c r="G254" s="606"/>
      <c r="H254" s="375"/>
      <c r="I254" s="229" t="str">
        <f t="shared" si="55"/>
        <v/>
      </c>
      <c r="J254" s="230" t="str">
        <f t="shared" si="56"/>
        <v/>
      </c>
      <c r="K254" s="230" t="str">
        <f t="shared" si="57"/>
        <v/>
      </c>
      <c r="L254" s="231" t="str">
        <f t="shared" si="54"/>
        <v/>
      </c>
      <c r="M254" s="232" t="str">
        <f t="shared" si="58"/>
        <v/>
      </c>
      <c r="N254" s="384" t="str">
        <f t="shared" si="59"/>
        <v/>
      </c>
    </row>
    <row r="255" spans="2:14" s="110" customFormat="1" ht="15" x14ac:dyDescent="0.2">
      <c r="B255" s="371"/>
      <c r="C255" s="372"/>
      <c r="D255" s="373"/>
      <c r="E255" s="374"/>
      <c r="F255" s="374"/>
      <c r="G255" s="606"/>
      <c r="H255" s="375"/>
      <c r="I255" s="229" t="str">
        <f t="shared" si="55"/>
        <v/>
      </c>
      <c r="J255" s="230" t="str">
        <f t="shared" si="56"/>
        <v/>
      </c>
      <c r="K255" s="230" t="str">
        <f t="shared" si="57"/>
        <v/>
      </c>
      <c r="L255" s="231" t="str">
        <f t="shared" si="54"/>
        <v/>
      </c>
      <c r="M255" s="232" t="str">
        <f t="shared" si="58"/>
        <v/>
      </c>
      <c r="N255" s="384" t="str">
        <f t="shared" si="59"/>
        <v/>
      </c>
    </row>
    <row r="256" spans="2:14" s="110" customFormat="1" ht="15" x14ac:dyDescent="0.2">
      <c r="B256" s="371"/>
      <c r="C256" s="372"/>
      <c r="D256" s="373"/>
      <c r="E256" s="374"/>
      <c r="F256" s="374"/>
      <c r="G256" s="606"/>
      <c r="H256" s="375"/>
      <c r="I256" s="229" t="str">
        <f t="shared" si="55"/>
        <v/>
      </c>
      <c r="J256" s="230" t="str">
        <f t="shared" si="56"/>
        <v/>
      </c>
      <c r="K256" s="230" t="str">
        <f t="shared" si="57"/>
        <v/>
      </c>
      <c r="L256" s="231" t="str">
        <f t="shared" si="54"/>
        <v/>
      </c>
      <c r="M256" s="232" t="str">
        <f t="shared" si="58"/>
        <v/>
      </c>
      <c r="N256" s="384" t="str">
        <f t="shared" si="59"/>
        <v/>
      </c>
    </row>
    <row r="257" spans="2:14" s="110" customFormat="1" ht="15" x14ac:dyDescent="0.2">
      <c r="B257" s="371"/>
      <c r="C257" s="372"/>
      <c r="D257" s="373"/>
      <c r="E257" s="374"/>
      <c r="F257" s="374"/>
      <c r="G257" s="606"/>
      <c r="H257" s="375"/>
      <c r="I257" s="229" t="str">
        <f t="shared" si="55"/>
        <v/>
      </c>
      <c r="J257" s="230" t="str">
        <f t="shared" si="56"/>
        <v/>
      </c>
      <c r="K257" s="230" t="str">
        <f t="shared" si="57"/>
        <v/>
      </c>
      <c r="L257" s="231" t="str">
        <f t="shared" si="54"/>
        <v/>
      </c>
      <c r="M257" s="232" t="str">
        <f t="shared" si="58"/>
        <v/>
      </c>
      <c r="N257" s="384" t="str">
        <f t="shared" si="59"/>
        <v/>
      </c>
    </row>
    <row r="258" spans="2:14" s="110" customFormat="1" ht="15" x14ac:dyDescent="0.2">
      <c r="B258" s="371"/>
      <c r="C258" s="372"/>
      <c r="D258" s="373"/>
      <c r="E258" s="374"/>
      <c r="F258" s="374"/>
      <c r="G258" s="606"/>
      <c r="H258" s="375"/>
      <c r="I258" s="229" t="str">
        <f t="shared" si="55"/>
        <v/>
      </c>
      <c r="J258" s="230" t="str">
        <f t="shared" si="56"/>
        <v/>
      </c>
      <c r="K258" s="230" t="str">
        <f t="shared" si="57"/>
        <v/>
      </c>
      <c r="L258" s="231" t="str">
        <f t="shared" si="54"/>
        <v/>
      </c>
      <c r="M258" s="232" t="str">
        <f t="shared" si="58"/>
        <v/>
      </c>
      <c r="N258" s="384" t="str">
        <f t="shared" si="59"/>
        <v/>
      </c>
    </row>
    <row r="259" spans="2:14" s="110" customFormat="1" ht="15" x14ac:dyDescent="0.2">
      <c r="B259" s="371"/>
      <c r="C259" s="372"/>
      <c r="D259" s="373"/>
      <c r="E259" s="374"/>
      <c r="F259" s="374"/>
      <c r="G259" s="606"/>
      <c r="H259" s="375"/>
      <c r="I259" s="229" t="str">
        <f t="shared" si="55"/>
        <v/>
      </c>
      <c r="J259" s="230" t="str">
        <f t="shared" si="56"/>
        <v/>
      </c>
      <c r="K259" s="230" t="str">
        <f t="shared" si="57"/>
        <v/>
      </c>
      <c r="L259" s="231" t="str">
        <f t="shared" si="54"/>
        <v/>
      </c>
      <c r="M259" s="232" t="str">
        <f t="shared" si="58"/>
        <v/>
      </c>
      <c r="N259" s="384" t="str">
        <f t="shared" si="59"/>
        <v/>
      </c>
    </row>
    <row r="260" spans="2:14" s="110" customFormat="1" ht="15" x14ac:dyDescent="0.2">
      <c r="B260" s="371"/>
      <c r="C260" s="372"/>
      <c r="D260" s="373"/>
      <c r="E260" s="374"/>
      <c r="F260" s="374"/>
      <c r="G260" s="606"/>
      <c r="H260" s="375"/>
      <c r="I260" s="229" t="str">
        <f t="shared" si="55"/>
        <v/>
      </c>
      <c r="J260" s="230" t="str">
        <f t="shared" si="56"/>
        <v/>
      </c>
      <c r="K260" s="230" t="str">
        <f t="shared" si="57"/>
        <v/>
      </c>
      <c r="L260" s="231" t="str">
        <f t="shared" si="54"/>
        <v/>
      </c>
      <c r="M260" s="232" t="str">
        <f t="shared" si="58"/>
        <v/>
      </c>
      <c r="N260" s="384" t="str">
        <f t="shared" si="59"/>
        <v/>
      </c>
    </row>
    <row r="261" spans="2:14" s="110" customFormat="1" ht="15" x14ac:dyDescent="0.2">
      <c r="B261" s="371"/>
      <c r="C261" s="372"/>
      <c r="D261" s="373"/>
      <c r="E261" s="374"/>
      <c r="F261" s="374"/>
      <c r="G261" s="606"/>
      <c r="H261" s="375"/>
      <c r="I261" s="229" t="str">
        <f t="shared" si="55"/>
        <v/>
      </c>
      <c r="J261" s="230" t="str">
        <f t="shared" si="56"/>
        <v/>
      </c>
      <c r="K261" s="230" t="str">
        <f t="shared" si="57"/>
        <v/>
      </c>
      <c r="L261" s="231" t="str">
        <f t="shared" si="54"/>
        <v/>
      </c>
      <c r="M261" s="232" t="str">
        <f t="shared" si="58"/>
        <v/>
      </c>
      <c r="N261" s="384" t="str">
        <f t="shared" si="59"/>
        <v/>
      </c>
    </row>
    <row r="262" spans="2:14" s="110" customFormat="1" ht="15" x14ac:dyDescent="0.2">
      <c r="B262" s="371"/>
      <c r="C262" s="372"/>
      <c r="D262" s="373"/>
      <c r="E262" s="374"/>
      <c r="F262" s="374"/>
      <c r="G262" s="606"/>
      <c r="H262" s="375"/>
      <c r="I262" s="229" t="str">
        <f t="shared" si="55"/>
        <v/>
      </c>
      <c r="J262" s="230" t="str">
        <f t="shared" si="56"/>
        <v/>
      </c>
      <c r="K262" s="230" t="str">
        <f t="shared" si="57"/>
        <v/>
      </c>
      <c r="L262" s="231" t="str">
        <f t="shared" si="54"/>
        <v/>
      </c>
      <c r="M262" s="232" t="str">
        <f t="shared" si="58"/>
        <v/>
      </c>
      <c r="N262" s="384" t="str">
        <f t="shared" si="59"/>
        <v/>
      </c>
    </row>
    <row r="263" spans="2:14" s="110" customFormat="1" ht="15" x14ac:dyDescent="0.2">
      <c r="B263" s="371"/>
      <c r="C263" s="372"/>
      <c r="D263" s="373"/>
      <c r="E263" s="374"/>
      <c r="F263" s="374"/>
      <c r="G263" s="606"/>
      <c r="H263" s="375"/>
      <c r="I263" s="229" t="str">
        <f t="shared" si="55"/>
        <v/>
      </c>
      <c r="J263" s="230" t="str">
        <f t="shared" si="56"/>
        <v/>
      </c>
      <c r="K263" s="230" t="str">
        <f t="shared" si="57"/>
        <v/>
      </c>
      <c r="L263" s="231" t="str">
        <f t="shared" si="54"/>
        <v/>
      </c>
      <c r="M263" s="232" t="str">
        <f t="shared" si="58"/>
        <v/>
      </c>
      <c r="N263" s="384" t="str">
        <f t="shared" si="59"/>
        <v/>
      </c>
    </row>
    <row r="264" spans="2:14" s="110" customFormat="1" ht="15" x14ac:dyDescent="0.2">
      <c r="B264" s="371"/>
      <c r="C264" s="372"/>
      <c r="D264" s="373"/>
      <c r="E264" s="374"/>
      <c r="F264" s="374"/>
      <c r="G264" s="606"/>
      <c r="H264" s="375"/>
      <c r="I264" s="229" t="str">
        <f t="shared" si="55"/>
        <v/>
      </c>
      <c r="J264" s="230" t="str">
        <f t="shared" si="56"/>
        <v/>
      </c>
      <c r="K264" s="230" t="str">
        <f t="shared" si="57"/>
        <v/>
      </c>
      <c r="L264" s="231" t="str">
        <f t="shared" si="54"/>
        <v/>
      </c>
      <c r="M264" s="232" t="str">
        <f t="shared" si="58"/>
        <v/>
      </c>
      <c r="N264" s="384" t="str">
        <f t="shared" si="59"/>
        <v/>
      </c>
    </row>
    <row r="265" spans="2:14" s="110" customFormat="1" ht="15" x14ac:dyDescent="0.2">
      <c r="B265" s="371"/>
      <c r="C265" s="372"/>
      <c r="D265" s="373"/>
      <c r="E265" s="374"/>
      <c r="F265" s="374"/>
      <c r="G265" s="606"/>
      <c r="H265" s="375"/>
      <c r="I265" s="229" t="str">
        <f t="shared" si="55"/>
        <v/>
      </c>
      <c r="J265" s="230" t="str">
        <f t="shared" si="56"/>
        <v/>
      </c>
      <c r="K265" s="230" t="str">
        <f t="shared" si="57"/>
        <v/>
      </c>
      <c r="L265" s="231" t="str">
        <f t="shared" si="54"/>
        <v/>
      </c>
      <c r="M265" s="232" t="str">
        <f t="shared" si="58"/>
        <v/>
      </c>
      <c r="N265" s="384" t="str">
        <f t="shared" si="59"/>
        <v/>
      </c>
    </row>
    <row r="266" spans="2:14" s="110" customFormat="1" ht="15" x14ac:dyDescent="0.2">
      <c r="B266" s="371"/>
      <c r="C266" s="372"/>
      <c r="D266" s="373"/>
      <c r="E266" s="374"/>
      <c r="F266" s="374"/>
      <c r="G266" s="606"/>
      <c r="H266" s="375"/>
      <c r="I266" s="229" t="str">
        <f t="shared" si="55"/>
        <v/>
      </c>
      <c r="J266" s="230" t="str">
        <f t="shared" si="56"/>
        <v/>
      </c>
      <c r="K266" s="230" t="str">
        <f t="shared" si="57"/>
        <v/>
      </c>
      <c r="L266" s="231" t="str">
        <f t="shared" si="54"/>
        <v/>
      </c>
      <c r="M266" s="232" t="str">
        <f t="shared" si="58"/>
        <v/>
      </c>
      <c r="N266" s="384" t="str">
        <f t="shared" si="59"/>
        <v/>
      </c>
    </row>
    <row r="267" spans="2:14" s="110" customFormat="1" ht="15" x14ac:dyDescent="0.2">
      <c r="B267" s="371"/>
      <c r="C267" s="372"/>
      <c r="D267" s="373"/>
      <c r="E267" s="374"/>
      <c r="F267" s="374"/>
      <c r="G267" s="606"/>
      <c r="H267" s="375"/>
      <c r="I267" s="229" t="str">
        <f t="shared" si="55"/>
        <v/>
      </c>
      <c r="J267" s="230" t="str">
        <f t="shared" si="56"/>
        <v/>
      </c>
      <c r="K267" s="230" t="str">
        <f t="shared" si="57"/>
        <v/>
      </c>
      <c r="L267" s="231" t="str">
        <f t="shared" si="54"/>
        <v/>
      </c>
      <c r="M267" s="232" t="str">
        <f t="shared" si="58"/>
        <v/>
      </c>
      <c r="N267" s="384" t="str">
        <f t="shared" si="59"/>
        <v/>
      </c>
    </row>
    <row r="268" spans="2:14" s="110" customFormat="1" ht="15" x14ac:dyDescent="0.2">
      <c r="B268" s="371"/>
      <c r="C268" s="372"/>
      <c r="D268" s="373"/>
      <c r="E268" s="374"/>
      <c r="F268" s="374"/>
      <c r="G268" s="606"/>
      <c r="H268" s="375"/>
      <c r="I268" s="229" t="str">
        <f t="shared" si="55"/>
        <v/>
      </c>
      <c r="J268" s="230" t="str">
        <f t="shared" si="56"/>
        <v/>
      </c>
      <c r="K268" s="230" t="str">
        <f t="shared" si="57"/>
        <v/>
      </c>
      <c r="L268" s="231" t="str">
        <f t="shared" si="54"/>
        <v/>
      </c>
      <c r="M268" s="232" t="str">
        <f t="shared" si="58"/>
        <v/>
      </c>
      <c r="N268" s="384" t="str">
        <f t="shared" si="59"/>
        <v/>
      </c>
    </row>
    <row r="269" spans="2:14" s="110" customFormat="1" ht="15" x14ac:dyDescent="0.2">
      <c r="B269" s="371"/>
      <c r="C269" s="372"/>
      <c r="D269" s="373"/>
      <c r="E269" s="374"/>
      <c r="F269" s="374"/>
      <c r="G269" s="606"/>
      <c r="H269" s="375"/>
      <c r="I269" s="229" t="str">
        <f t="shared" si="55"/>
        <v/>
      </c>
      <c r="J269" s="230" t="str">
        <f t="shared" si="56"/>
        <v/>
      </c>
      <c r="K269" s="230" t="str">
        <f t="shared" si="57"/>
        <v/>
      </c>
      <c r="L269" s="231" t="str">
        <f t="shared" si="54"/>
        <v/>
      </c>
      <c r="M269" s="232" t="str">
        <f t="shared" si="58"/>
        <v/>
      </c>
      <c r="N269" s="384" t="str">
        <f t="shared" si="59"/>
        <v/>
      </c>
    </row>
    <row r="270" spans="2:14" s="110" customFormat="1" ht="15" x14ac:dyDescent="0.2">
      <c r="B270" s="371"/>
      <c r="C270" s="372"/>
      <c r="D270" s="373"/>
      <c r="E270" s="374"/>
      <c r="F270" s="374"/>
      <c r="G270" s="606"/>
      <c r="H270" s="375"/>
      <c r="I270" s="229" t="str">
        <f t="shared" si="55"/>
        <v/>
      </c>
      <c r="J270" s="230" t="str">
        <f t="shared" si="56"/>
        <v/>
      </c>
      <c r="K270" s="230" t="str">
        <f t="shared" si="57"/>
        <v/>
      </c>
      <c r="L270" s="231" t="str">
        <f t="shared" si="54"/>
        <v/>
      </c>
      <c r="M270" s="232" t="str">
        <f t="shared" si="58"/>
        <v/>
      </c>
      <c r="N270" s="384" t="str">
        <f t="shared" si="59"/>
        <v/>
      </c>
    </row>
    <row r="271" spans="2:14" s="110" customFormat="1" ht="15" x14ac:dyDescent="0.2">
      <c r="B271" s="371"/>
      <c r="C271" s="372"/>
      <c r="D271" s="373"/>
      <c r="E271" s="374"/>
      <c r="F271" s="374"/>
      <c r="G271" s="606"/>
      <c r="H271" s="375"/>
      <c r="I271" s="229" t="str">
        <f t="shared" si="55"/>
        <v/>
      </c>
      <c r="J271" s="230" t="str">
        <f t="shared" si="56"/>
        <v/>
      </c>
      <c r="K271" s="230" t="str">
        <f t="shared" si="57"/>
        <v/>
      </c>
      <c r="L271" s="231" t="str">
        <f t="shared" si="54"/>
        <v/>
      </c>
      <c r="M271" s="232" t="str">
        <f t="shared" si="58"/>
        <v/>
      </c>
      <c r="N271" s="384" t="str">
        <f t="shared" si="59"/>
        <v/>
      </c>
    </row>
    <row r="272" spans="2:14" s="110" customFormat="1" ht="15" x14ac:dyDescent="0.2">
      <c r="B272" s="234"/>
      <c r="C272" s="235"/>
      <c r="D272" s="236"/>
      <c r="E272" s="237"/>
      <c r="F272" s="237"/>
      <c r="G272" s="607"/>
      <c r="H272" s="238"/>
      <c r="I272" s="238"/>
      <c r="J272" s="239"/>
      <c r="K272" s="240"/>
      <c r="L272" s="240"/>
      <c r="M272" s="232" t="str">
        <f t="shared" ref="M272" si="60">IFERROR(ROUND(E272/G272,2),"")</f>
        <v/>
      </c>
      <c r="N272" s="384" t="str">
        <f t="shared" ref="N272" si="61">IFERROR(ROUND(F272/E272,4),"")</f>
        <v/>
      </c>
    </row>
    <row r="273" spans="1:14" s="110" customFormat="1" ht="15.75" thickBot="1" x14ac:dyDescent="0.25">
      <c r="B273" s="241"/>
      <c r="C273" s="242"/>
      <c r="D273" s="243" t="s">
        <v>38</v>
      </c>
      <c r="E273" s="244">
        <f>SUM(E242:E272)</f>
        <v>0</v>
      </c>
      <c r="F273" s="244">
        <f>SUM(F242:F272)</f>
        <v>0</v>
      </c>
      <c r="G273" s="608">
        <f>SUM(G242:G272)</f>
        <v>0</v>
      </c>
      <c r="H273" s="246"/>
      <c r="I273" s="245">
        <f>SUM(I242:I272)</f>
        <v>0</v>
      </c>
      <c r="J273" s="244">
        <f>SUM(J242:J272)</f>
        <v>0</v>
      </c>
      <c r="K273" s="244">
        <f>SUM(K242:K272)</f>
        <v>0</v>
      </c>
      <c r="L273" s="244">
        <f>SUM(L242:L272)</f>
        <v>0</v>
      </c>
      <c r="M273" s="247" t="str">
        <f>IFERROR(ROUND(E273/G273,2),"")</f>
        <v/>
      </c>
      <c r="N273" s="385" t="str">
        <f>IFERROR(ROUND(F273/E273,4),"")</f>
        <v/>
      </c>
    </row>
    <row r="274" spans="1:14" ht="15.75" thickBot="1" x14ac:dyDescent="0.25">
      <c r="B274" s="214"/>
      <c r="C274" s="214"/>
      <c r="D274" s="214"/>
      <c r="E274" s="214"/>
      <c r="F274" s="214"/>
      <c r="G274" s="214"/>
      <c r="H274" s="277"/>
      <c r="I274" s="277"/>
      <c r="J274" s="214"/>
      <c r="K274" s="269"/>
      <c r="L274" s="214"/>
      <c r="M274" s="215"/>
      <c r="N274" s="214"/>
    </row>
    <row r="275" spans="1:14" ht="15.75" x14ac:dyDescent="0.25">
      <c r="A275" s="108">
        <v>8</v>
      </c>
      <c r="B275" s="644"/>
      <c r="C275" s="645"/>
      <c r="D275" s="645"/>
      <c r="E275" s="645"/>
      <c r="F275" s="645"/>
      <c r="G275" s="645"/>
      <c r="H275" s="645"/>
      <c r="I275" s="645"/>
      <c r="J275" s="645"/>
      <c r="K275" s="645"/>
      <c r="L275" s="645"/>
      <c r="M275" s="645"/>
      <c r="N275" s="646"/>
    </row>
    <row r="276" spans="1:14" ht="15.75" x14ac:dyDescent="0.25">
      <c r="B276" s="253" t="s">
        <v>162</v>
      </c>
      <c r="C276" s="254"/>
      <c r="D276" s="255"/>
      <c r="E276" s="256"/>
      <c r="F276" s="256"/>
      <c r="G276" s="257"/>
      <c r="H276" s="258"/>
      <c r="I276" s="258"/>
      <c r="J276" s="259"/>
      <c r="K276" s="260"/>
      <c r="L276" s="256"/>
      <c r="M276" s="261"/>
      <c r="N276" s="262"/>
    </row>
    <row r="277" spans="1:14" ht="16.5" thickBot="1" x14ac:dyDescent="0.3">
      <c r="B277" s="377"/>
      <c r="C277" s="263"/>
      <c r="D277" s="264"/>
      <c r="E277" s="205"/>
      <c r="F277" s="205"/>
      <c r="G277" s="265"/>
      <c r="H277" s="208"/>
      <c r="I277" s="208"/>
      <c r="J277" s="209"/>
      <c r="K277" s="266"/>
      <c r="L277" s="205"/>
      <c r="M277" s="211"/>
      <c r="N277" s="212"/>
    </row>
    <row r="278" spans="1:14" ht="16.5" thickBot="1" x14ac:dyDescent="0.3">
      <c r="B278" s="381"/>
      <c r="C278" s="214"/>
      <c r="D278" s="267"/>
      <c r="E278" s="207"/>
      <c r="F278" s="207"/>
      <c r="G278" s="207"/>
      <c r="H278" s="208"/>
      <c r="I278" s="258"/>
      <c r="J278" s="268"/>
      <c r="K278" s="269"/>
      <c r="L278" s="214"/>
      <c r="M278" s="215"/>
      <c r="N278" s="214"/>
    </row>
    <row r="279" spans="1:14" ht="15" x14ac:dyDescent="0.2">
      <c r="B279" s="381" t="s">
        <v>144</v>
      </c>
      <c r="C279" s="216" t="s">
        <v>145</v>
      </c>
      <c r="D279" s="216" t="s">
        <v>146</v>
      </c>
      <c r="E279" s="216" t="s">
        <v>147</v>
      </c>
      <c r="F279" s="217" t="s">
        <v>148</v>
      </c>
      <c r="G279" s="216" t="s">
        <v>157</v>
      </c>
      <c r="H279" s="217" t="s">
        <v>149</v>
      </c>
      <c r="I279" s="216" t="s">
        <v>150</v>
      </c>
      <c r="J279" s="218" t="s">
        <v>151</v>
      </c>
      <c r="K279" s="218" t="s">
        <v>158</v>
      </c>
      <c r="L279" s="218" t="s">
        <v>168</v>
      </c>
      <c r="M279" s="219" t="s">
        <v>219</v>
      </c>
      <c r="N279" s="382" t="s">
        <v>220</v>
      </c>
    </row>
    <row r="280" spans="1:14" ht="90" x14ac:dyDescent="0.2">
      <c r="B280" s="220" t="s">
        <v>152</v>
      </c>
      <c r="C280" s="221" t="s">
        <v>264</v>
      </c>
      <c r="D280" s="222" t="s">
        <v>164</v>
      </c>
      <c r="E280" s="600" t="s">
        <v>161</v>
      </c>
      <c r="F280" s="601" t="s">
        <v>154</v>
      </c>
      <c r="G280" s="223" t="s">
        <v>174</v>
      </c>
      <c r="H280" s="223" t="s">
        <v>155</v>
      </c>
      <c r="I280" s="223" t="s">
        <v>261</v>
      </c>
      <c r="J280" s="222" t="s">
        <v>153</v>
      </c>
      <c r="K280" s="222" t="s">
        <v>156</v>
      </c>
      <c r="L280" s="222" t="s">
        <v>159</v>
      </c>
      <c r="M280" s="224" t="s">
        <v>167</v>
      </c>
      <c r="N280" s="383" t="s">
        <v>166</v>
      </c>
    </row>
    <row r="281" spans="1:14" ht="15.75" x14ac:dyDescent="0.25">
      <c r="B281" s="225"/>
      <c r="C281" s="226" t="s">
        <v>162</v>
      </c>
      <c r="D281" s="222" t="s">
        <v>165</v>
      </c>
      <c r="E281" s="227"/>
      <c r="F281" s="228"/>
      <c r="G281" s="605"/>
      <c r="H281" s="223"/>
      <c r="I281" s="223"/>
      <c r="J281" s="222"/>
      <c r="K281" s="222"/>
      <c r="L281" s="222"/>
      <c r="M281" s="224"/>
      <c r="N281" s="383"/>
    </row>
    <row r="282" spans="1:14" s="110" customFormat="1" ht="15" x14ac:dyDescent="0.2">
      <c r="B282" s="371"/>
      <c r="C282" s="372"/>
      <c r="D282" s="373"/>
      <c r="E282" s="374"/>
      <c r="F282" s="374"/>
      <c r="G282" s="606"/>
      <c r="H282" s="375"/>
      <c r="I282" s="229" t="str">
        <f>IF(ISBLANK(G282),"",(ROUND(G282*H282,2)))</f>
        <v/>
      </c>
      <c r="J282" s="230" t="str">
        <f>IF(ISBLANK(E282),"",(ROUND(E282*H282,0)))</f>
        <v/>
      </c>
      <c r="K282" s="230" t="str">
        <f>IF(ISBLANK(F282),"",(ROUND(F282*H282,0)))</f>
        <v/>
      </c>
      <c r="L282" s="231" t="str">
        <f t="shared" ref="L282:L309" si="62">IFERROR(IF(C282="contract labor",J282,(ROUND(J282+K282,0))),"")</f>
        <v/>
      </c>
      <c r="M282" s="232" t="str">
        <f>IFERROR(ROUND(E282/G282,2),"")</f>
        <v/>
      </c>
      <c r="N282" s="384" t="str">
        <f>IFERROR(ROUND(F282/E282,4),"")</f>
        <v/>
      </c>
    </row>
    <row r="283" spans="1:14" s="110" customFormat="1" ht="15" x14ac:dyDescent="0.2">
      <c r="B283" s="371"/>
      <c r="C283" s="372"/>
      <c r="D283" s="373"/>
      <c r="E283" s="374"/>
      <c r="F283" s="374"/>
      <c r="G283" s="606"/>
      <c r="H283" s="375"/>
      <c r="I283" s="229" t="str">
        <f t="shared" ref="I283:I309" si="63">IF(ISBLANK(G283),"",(ROUND(G283*H283,2)))</f>
        <v/>
      </c>
      <c r="J283" s="230" t="str">
        <f t="shared" ref="J283:J309" si="64">IF(ISBLANK(E283),"",(ROUND(E283*H283,0)))</f>
        <v/>
      </c>
      <c r="K283" s="230" t="str">
        <f t="shared" ref="K283:K309" si="65">IF(ISBLANK(F283),"",(ROUND(F283*H283,0)))</f>
        <v/>
      </c>
      <c r="L283" s="231" t="str">
        <f t="shared" si="62"/>
        <v/>
      </c>
      <c r="M283" s="232" t="str">
        <f t="shared" ref="M283:M309" si="66">IFERROR(ROUND(E283/G283,2),"")</f>
        <v/>
      </c>
      <c r="N283" s="384" t="str">
        <f t="shared" ref="N283:N309" si="67">IFERROR(ROUND(F283/E283,4),"")</f>
        <v/>
      </c>
    </row>
    <row r="284" spans="1:14" s="110" customFormat="1" ht="15" x14ac:dyDescent="0.2">
      <c r="B284" s="371"/>
      <c r="C284" s="372"/>
      <c r="D284" s="373"/>
      <c r="E284" s="374"/>
      <c r="F284" s="374"/>
      <c r="G284" s="606"/>
      <c r="H284" s="375"/>
      <c r="I284" s="229" t="str">
        <f t="shared" si="63"/>
        <v/>
      </c>
      <c r="J284" s="230" t="str">
        <f t="shared" si="64"/>
        <v/>
      </c>
      <c r="K284" s="230" t="str">
        <f t="shared" si="65"/>
        <v/>
      </c>
      <c r="L284" s="231" t="str">
        <f t="shared" si="62"/>
        <v/>
      </c>
      <c r="M284" s="232" t="str">
        <f t="shared" si="66"/>
        <v/>
      </c>
      <c r="N284" s="384" t="str">
        <f t="shared" si="67"/>
        <v/>
      </c>
    </row>
    <row r="285" spans="1:14" s="110" customFormat="1" ht="15" x14ac:dyDescent="0.2">
      <c r="B285" s="371"/>
      <c r="C285" s="372"/>
      <c r="D285" s="373"/>
      <c r="E285" s="374"/>
      <c r="F285" s="374"/>
      <c r="G285" s="606"/>
      <c r="H285" s="375"/>
      <c r="I285" s="229" t="str">
        <f t="shared" si="63"/>
        <v/>
      </c>
      <c r="J285" s="230" t="str">
        <f t="shared" si="64"/>
        <v/>
      </c>
      <c r="K285" s="230" t="str">
        <f t="shared" si="65"/>
        <v/>
      </c>
      <c r="L285" s="231" t="str">
        <f t="shared" si="62"/>
        <v/>
      </c>
      <c r="M285" s="232" t="str">
        <f t="shared" si="66"/>
        <v/>
      </c>
      <c r="N285" s="384" t="str">
        <f t="shared" si="67"/>
        <v/>
      </c>
    </row>
    <row r="286" spans="1:14" s="110" customFormat="1" ht="15" x14ac:dyDescent="0.2">
      <c r="B286" s="371"/>
      <c r="C286" s="372"/>
      <c r="D286" s="373"/>
      <c r="E286" s="374"/>
      <c r="F286" s="374"/>
      <c r="G286" s="606"/>
      <c r="H286" s="375"/>
      <c r="I286" s="229" t="str">
        <f t="shared" si="63"/>
        <v/>
      </c>
      <c r="J286" s="230" t="str">
        <f t="shared" si="64"/>
        <v/>
      </c>
      <c r="K286" s="230" t="str">
        <f t="shared" si="65"/>
        <v/>
      </c>
      <c r="L286" s="231" t="str">
        <f t="shared" si="62"/>
        <v/>
      </c>
      <c r="M286" s="232" t="str">
        <f t="shared" si="66"/>
        <v/>
      </c>
      <c r="N286" s="384" t="str">
        <f t="shared" si="67"/>
        <v/>
      </c>
    </row>
    <row r="287" spans="1:14" s="110" customFormat="1" ht="15" x14ac:dyDescent="0.2">
      <c r="B287" s="371"/>
      <c r="C287" s="372"/>
      <c r="D287" s="373"/>
      <c r="E287" s="374"/>
      <c r="F287" s="374"/>
      <c r="G287" s="606"/>
      <c r="H287" s="375"/>
      <c r="I287" s="229" t="str">
        <f t="shared" si="63"/>
        <v/>
      </c>
      <c r="J287" s="230" t="str">
        <f t="shared" si="64"/>
        <v/>
      </c>
      <c r="K287" s="230" t="str">
        <f t="shared" si="65"/>
        <v/>
      </c>
      <c r="L287" s="231" t="str">
        <f t="shared" si="62"/>
        <v/>
      </c>
      <c r="M287" s="232" t="str">
        <f t="shared" si="66"/>
        <v/>
      </c>
      <c r="N287" s="384" t="str">
        <f t="shared" si="67"/>
        <v/>
      </c>
    </row>
    <row r="288" spans="1:14" s="110" customFormat="1" ht="15" x14ac:dyDescent="0.2">
      <c r="B288" s="371"/>
      <c r="C288" s="372"/>
      <c r="D288" s="373"/>
      <c r="E288" s="374"/>
      <c r="F288" s="374"/>
      <c r="G288" s="606"/>
      <c r="H288" s="375"/>
      <c r="I288" s="229" t="str">
        <f t="shared" si="63"/>
        <v/>
      </c>
      <c r="J288" s="230" t="str">
        <f t="shared" si="64"/>
        <v/>
      </c>
      <c r="K288" s="230" t="str">
        <f t="shared" si="65"/>
        <v/>
      </c>
      <c r="L288" s="231" t="str">
        <f t="shared" si="62"/>
        <v/>
      </c>
      <c r="M288" s="232" t="str">
        <f t="shared" si="66"/>
        <v/>
      </c>
      <c r="N288" s="384" t="str">
        <f t="shared" si="67"/>
        <v/>
      </c>
    </row>
    <row r="289" spans="2:14" s="110" customFormat="1" ht="15" x14ac:dyDescent="0.2">
      <c r="B289" s="371"/>
      <c r="C289" s="372"/>
      <c r="D289" s="373"/>
      <c r="E289" s="374"/>
      <c r="F289" s="374"/>
      <c r="G289" s="606"/>
      <c r="H289" s="375"/>
      <c r="I289" s="229" t="str">
        <f t="shared" si="63"/>
        <v/>
      </c>
      <c r="J289" s="230" t="str">
        <f t="shared" si="64"/>
        <v/>
      </c>
      <c r="K289" s="230" t="str">
        <f t="shared" si="65"/>
        <v/>
      </c>
      <c r="L289" s="231" t="str">
        <f t="shared" si="62"/>
        <v/>
      </c>
      <c r="M289" s="232" t="str">
        <f t="shared" si="66"/>
        <v/>
      </c>
      <c r="N289" s="384" t="str">
        <f t="shared" si="67"/>
        <v/>
      </c>
    </row>
    <row r="290" spans="2:14" s="110" customFormat="1" ht="15" x14ac:dyDescent="0.2">
      <c r="B290" s="371"/>
      <c r="C290" s="372"/>
      <c r="D290" s="373"/>
      <c r="E290" s="374"/>
      <c r="F290" s="374"/>
      <c r="G290" s="606"/>
      <c r="H290" s="375"/>
      <c r="I290" s="229" t="str">
        <f t="shared" si="63"/>
        <v/>
      </c>
      <c r="J290" s="230" t="str">
        <f t="shared" si="64"/>
        <v/>
      </c>
      <c r="K290" s="230" t="str">
        <f t="shared" si="65"/>
        <v/>
      </c>
      <c r="L290" s="231" t="str">
        <f t="shared" si="62"/>
        <v/>
      </c>
      <c r="M290" s="232" t="str">
        <f t="shared" si="66"/>
        <v/>
      </c>
      <c r="N290" s="384" t="str">
        <f t="shared" si="67"/>
        <v/>
      </c>
    </row>
    <row r="291" spans="2:14" s="110" customFormat="1" ht="15" x14ac:dyDescent="0.2">
      <c r="B291" s="371"/>
      <c r="C291" s="372"/>
      <c r="D291" s="373"/>
      <c r="E291" s="374"/>
      <c r="F291" s="374"/>
      <c r="G291" s="606"/>
      <c r="H291" s="375"/>
      <c r="I291" s="229" t="str">
        <f t="shared" si="63"/>
        <v/>
      </c>
      <c r="J291" s="230" t="str">
        <f t="shared" si="64"/>
        <v/>
      </c>
      <c r="K291" s="230" t="str">
        <f t="shared" si="65"/>
        <v/>
      </c>
      <c r="L291" s="231" t="str">
        <f t="shared" si="62"/>
        <v/>
      </c>
      <c r="M291" s="232" t="str">
        <f t="shared" si="66"/>
        <v/>
      </c>
      <c r="N291" s="384" t="str">
        <f t="shared" si="67"/>
        <v/>
      </c>
    </row>
    <row r="292" spans="2:14" s="110" customFormat="1" ht="15" x14ac:dyDescent="0.2">
      <c r="B292" s="371"/>
      <c r="C292" s="372"/>
      <c r="D292" s="373"/>
      <c r="E292" s="374"/>
      <c r="F292" s="374"/>
      <c r="G292" s="606"/>
      <c r="H292" s="375"/>
      <c r="I292" s="229" t="str">
        <f t="shared" si="63"/>
        <v/>
      </c>
      <c r="J292" s="230" t="str">
        <f t="shared" si="64"/>
        <v/>
      </c>
      <c r="K292" s="230" t="str">
        <f t="shared" si="65"/>
        <v/>
      </c>
      <c r="L292" s="231" t="str">
        <f t="shared" si="62"/>
        <v/>
      </c>
      <c r="M292" s="232" t="str">
        <f t="shared" si="66"/>
        <v/>
      </c>
      <c r="N292" s="384" t="str">
        <f t="shared" si="67"/>
        <v/>
      </c>
    </row>
    <row r="293" spans="2:14" s="110" customFormat="1" ht="15" x14ac:dyDescent="0.2">
      <c r="B293" s="371"/>
      <c r="C293" s="372"/>
      <c r="D293" s="373"/>
      <c r="E293" s="374"/>
      <c r="F293" s="374"/>
      <c r="G293" s="606"/>
      <c r="H293" s="375"/>
      <c r="I293" s="229" t="str">
        <f t="shared" si="63"/>
        <v/>
      </c>
      <c r="J293" s="230" t="str">
        <f t="shared" si="64"/>
        <v/>
      </c>
      <c r="K293" s="230" t="str">
        <f t="shared" si="65"/>
        <v/>
      </c>
      <c r="L293" s="231" t="str">
        <f t="shared" si="62"/>
        <v/>
      </c>
      <c r="M293" s="232" t="str">
        <f t="shared" si="66"/>
        <v/>
      </c>
      <c r="N293" s="384" t="str">
        <f t="shared" si="67"/>
        <v/>
      </c>
    </row>
    <row r="294" spans="2:14" s="110" customFormat="1" ht="15" x14ac:dyDescent="0.2">
      <c r="B294" s="371"/>
      <c r="C294" s="372"/>
      <c r="D294" s="373"/>
      <c r="E294" s="374"/>
      <c r="F294" s="374"/>
      <c r="G294" s="606"/>
      <c r="H294" s="375"/>
      <c r="I294" s="229" t="str">
        <f t="shared" si="63"/>
        <v/>
      </c>
      <c r="J294" s="230" t="str">
        <f t="shared" si="64"/>
        <v/>
      </c>
      <c r="K294" s="230" t="str">
        <f t="shared" si="65"/>
        <v/>
      </c>
      <c r="L294" s="231" t="str">
        <f t="shared" si="62"/>
        <v/>
      </c>
      <c r="M294" s="232" t="str">
        <f t="shared" si="66"/>
        <v/>
      </c>
      <c r="N294" s="384" t="str">
        <f t="shared" si="67"/>
        <v/>
      </c>
    </row>
    <row r="295" spans="2:14" s="110" customFormat="1" ht="15" x14ac:dyDescent="0.2">
      <c r="B295" s="371"/>
      <c r="C295" s="372"/>
      <c r="D295" s="373"/>
      <c r="E295" s="374"/>
      <c r="F295" s="374"/>
      <c r="G295" s="606"/>
      <c r="H295" s="375"/>
      <c r="I295" s="229" t="str">
        <f t="shared" si="63"/>
        <v/>
      </c>
      <c r="J295" s="230" t="str">
        <f t="shared" si="64"/>
        <v/>
      </c>
      <c r="K295" s="230" t="str">
        <f t="shared" si="65"/>
        <v/>
      </c>
      <c r="L295" s="231" t="str">
        <f t="shared" si="62"/>
        <v/>
      </c>
      <c r="M295" s="232" t="str">
        <f t="shared" si="66"/>
        <v/>
      </c>
      <c r="N295" s="384" t="str">
        <f t="shared" si="67"/>
        <v/>
      </c>
    </row>
    <row r="296" spans="2:14" s="110" customFormat="1" ht="15" x14ac:dyDescent="0.2">
      <c r="B296" s="371"/>
      <c r="C296" s="372"/>
      <c r="D296" s="373"/>
      <c r="E296" s="374"/>
      <c r="F296" s="374"/>
      <c r="G296" s="606"/>
      <c r="H296" s="375"/>
      <c r="I296" s="229" t="str">
        <f t="shared" si="63"/>
        <v/>
      </c>
      <c r="J296" s="230" t="str">
        <f t="shared" si="64"/>
        <v/>
      </c>
      <c r="K296" s="230" t="str">
        <f t="shared" si="65"/>
        <v/>
      </c>
      <c r="L296" s="231" t="str">
        <f t="shared" si="62"/>
        <v/>
      </c>
      <c r="M296" s="232" t="str">
        <f t="shared" si="66"/>
        <v/>
      </c>
      <c r="N296" s="384" t="str">
        <f t="shared" si="67"/>
        <v/>
      </c>
    </row>
    <row r="297" spans="2:14" s="110" customFormat="1" ht="15" x14ac:dyDescent="0.2">
      <c r="B297" s="371"/>
      <c r="C297" s="372"/>
      <c r="D297" s="373"/>
      <c r="E297" s="374"/>
      <c r="F297" s="374"/>
      <c r="G297" s="606"/>
      <c r="H297" s="375"/>
      <c r="I297" s="229" t="str">
        <f t="shared" si="63"/>
        <v/>
      </c>
      <c r="J297" s="230" t="str">
        <f t="shared" si="64"/>
        <v/>
      </c>
      <c r="K297" s="230" t="str">
        <f t="shared" si="65"/>
        <v/>
      </c>
      <c r="L297" s="231" t="str">
        <f t="shared" si="62"/>
        <v/>
      </c>
      <c r="M297" s="232" t="str">
        <f t="shared" si="66"/>
        <v/>
      </c>
      <c r="N297" s="384" t="str">
        <f t="shared" si="67"/>
        <v/>
      </c>
    </row>
    <row r="298" spans="2:14" s="110" customFormat="1" ht="15" x14ac:dyDescent="0.2">
      <c r="B298" s="371"/>
      <c r="C298" s="372"/>
      <c r="D298" s="373"/>
      <c r="E298" s="374"/>
      <c r="F298" s="374"/>
      <c r="G298" s="606"/>
      <c r="H298" s="375"/>
      <c r="I298" s="229" t="str">
        <f t="shared" si="63"/>
        <v/>
      </c>
      <c r="J298" s="230" t="str">
        <f t="shared" si="64"/>
        <v/>
      </c>
      <c r="K298" s="230" t="str">
        <f t="shared" si="65"/>
        <v/>
      </c>
      <c r="L298" s="231" t="str">
        <f t="shared" si="62"/>
        <v/>
      </c>
      <c r="M298" s="232" t="str">
        <f t="shared" si="66"/>
        <v/>
      </c>
      <c r="N298" s="384" t="str">
        <f t="shared" si="67"/>
        <v/>
      </c>
    </row>
    <row r="299" spans="2:14" s="110" customFormat="1" ht="15" x14ac:dyDescent="0.2">
      <c r="B299" s="371"/>
      <c r="C299" s="372"/>
      <c r="D299" s="373"/>
      <c r="E299" s="374"/>
      <c r="F299" s="374"/>
      <c r="G299" s="606"/>
      <c r="H299" s="375"/>
      <c r="I299" s="229" t="str">
        <f t="shared" si="63"/>
        <v/>
      </c>
      <c r="J299" s="230" t="str">
        <f t="shared" si="64"/>
        <v/>
      </c>
      <c r="K299" s="230" t="str">
        <f t="shared" si="65"/>
        <v/>
      </c>
      <c r="L299" s="231" t="str">
        <f t="shared" si="62"/>
        <v/>
      </c>
      <c r="M299" s="232" t="str">
        <f t="shared" si="66"/>
        <v/>
      </c>
      <c r="N299" s="384" t="str">
        <f t="shared" si="67"/>
        <v/>
      </c>
    </row>
    <row r="300" spans="2:14" s="110" customFormat="1" ht="15" x14ac:dyDescent="0.2">
      <c r="B300" s="371"/>
      <c r="C300" s="372"/>
      <c r="D300" s="373"/>
      <c r="E300" s="374"/>
      <c r="F300" s="374"/>
      <c r="G300" s="606"/>
      <c r="H300" s="375"/>
      <c r="I300" s="229" t="str">
        <f t="shared" si="63"/>
        <v/>
      </c>
      <c r="J300" s="230" t="str">
        <f t="shared" si="64"/>
        <v/>
      </c>
      <c r="K300" s="230" t="str">
        <f t="shared" si="65"/>
        <v/>
      </c>
      <c r="L300" s="231" t="str">
        <f t="shared" si="62"/>
        <v/>
      </c>
      <c r="M300" s="232" t="str">
        <f t="shared" si="66"/>
        <v/>
      </c>
      <c r="N300" s="384" t="str">
        <f t="shared" si="67"/>
        <v/>
      </c>
    </row>
    <row r="301" spans="2:14" s="110" customFormat="1" ht="15" x14ac:dyDescent="0.2">
      <c r="B301" s="371"/>
      <c r="C301" s="372"/>
      <c r="D301" s="373"/>
      <c r="E301" s="374"/>
      <c r="F301" s="374"/>
      <c r="G301" s="606"/>
      <c r="H301" s="375"/>
      <c r="I301" s="229" t="str">
        <f t="shared" si="63"/>
        <v/>
      </c>
      <c r="J301" s="230" t="str">
        <f t="shared" si="64"/>
        <v/>
      </c>
      <c r="K301" s="230" t="str">
        <f t="shared" si="65"/>
        <v/>
      </c>
      <c r="L301" s="231" t="str">
        <f t="shared" si="62"/>
        <v/>
      </c>
      <c r="M301" s="232" t="str">
        <f t="shared" si="66"/>
        <v/>
      </c>
      <c r="N301" s="384" t="str">
        <f t="shared" si="67"/>
        <v/>
      </c>
    </row>
    <row r="302" spans="2:14" s="110" customFormat="1" ht="15" x14ac:dyDescent="0.2">
      <c r="B302" s="371"/>
      <c r="C302" s="372"/>
      <c r="D302" s="373"/>
      <c r="E302" s="374"/>
      <c r="F302" s="374"/>
      <c r="G302" s="606"/>
      <c r="H302" s="375"/>
      <c r="I302" s="229" t="str">
        <f t="shared" si="63"/>
        <v/>
      </c>
      <c r="J302" s="230" t="str">
        <f t="shared" si="64"/>
        <v/>
      </c>
      <c r="K302" s="230" t="str">
        <f t="shared" si="65"/>
        <v/>
      </c>
      <c r="L302" s="231" t="str">
        <f t="shared" si="62"/>
        <v/>
      </c>
      <c r="M302" s="232" t="str">
        <f t="shared" si="66"/>
        <v/>
      </c>
      <c r="N302" s="384" t="str">
        <f t="shared" si="67"/>
        <v/>
      </c>
    </row>
    <row r="303" spans="2:14" s="110" customFormat="1" ht="15" x14ac:dyDescent="0.2">
      <c r="B303" s="371"/>
      <c r="C303" s="372"/>
      <c r="D303" s="373"/>
      <c r="E303" s="374"/>
      <c r="F303" s="374"/>
      <c r="G303" s="606"/>
      <c r="H303" s="375"/>
      <c r="I303" s="229" t="str">
        <f t="shared" si="63"/>
        <v/>
      </c>
      <c r="J303" s="230" t="str">
        <f t="shared" si="64"/>
        <v/>
      </c>
      <c r="K303" s="230" t="str">
        <f t="shared" si="65"/>
        <v/>
      </c>
      <c r="L303" s="231" t="str">
        <f t="shared" si="62"/>
        <v/>
      </c>
      <c r="M303" s="232" t="str">
        <f t="shared" si="66"/>
        <v/>
      </c>
      <c r="N303" s="384" t="str">
        <f t="shared" si="67"/>
        <v/>
      </c>
    </row>
    <row r="304" spans="2:14" s="110" customFormat="1" ht="15" x14ac:dyDescent="0.2">
      <c r="B304" s="371"/>
      <c r="C304" s="372"/>
      <c r="D304" s="373"/>
      <c r="E304" s="374"/>
      <c r="F304" s="374"/>
      <c r="G304" s="606"/>
      <c r="H304" s="375"/>
      <c r="I304" s="229" t="str">
        <f t="shared" si="63"/>
        <v/>
      </c>
      <c r="J304" s="230" t="str">
        <f t="shared" si="64"/>
        <v/>
      </c>
      <c r="K304" s="230" t="str">
        <f t="shared" si="65"/>
        <v/>
      </c>
      <c r="L304" s="231" t="str">
        <f t="shared" si="62"/>
        <v/>
      </c>
      <c r="M304" s="232" t="str">
        <f t="shared" si="66"/>
        <v/>
      </c>
      <c r="N304" s="384" t="str">
        <f t="shared" si="67"/>
        <v/>
      </c>
    </row>
    <row r="305" spans="1:14" s="110" customFormat="1" ht="15" x14ac:dyDescent="0.2">
      <c r="B305" s="371"/>
      <c r="C305" s="372"/>
      <c r="D305" s="373"/>
      <c r="E305" s="374"/>
      <c r="F305" s="374"/>
      <c r="G305" s="606"/>
      <c r="H305" s="375"/>
      <c r="I305" s="229" t="str">
        <f t="shared" si="63"/>
        <v/>
      </c>
      <c r="J305" s="230" t="str">
        <f t="shared" si="64"/>
        <v/>
      </c>
      <c r="K305" s="230" t="str">
        <f t="shared" si="65"/>
        <v/>
      </c>
      <c r="L305" s="231" t="str">
        <f t="shared" si="62"/>
        <v/>
      </c>
      <c r="M305" s="232" t="str">
        <f t="shared" si="66"/>
        <v/>
      </c>
      <c r="N305" s="384" t="str">
        <f t="shared" si="67"/>
        <v/>
      </c>
    </row>
    <row r="306" spans="1:14" s="110" customFormat="1" ht="15" x14ac:dyDescent="0.2">
      <c r="B306" s="371"/>
      <c r="C306" s="372"/>
      <c r="D306" s="373"/>
      <c r="E306" s="374"/>
      <c r="F306" s="374"/>
      <c r="G306" s="606"/>
      <c r="H306" s="375"/>
      <c r="I306" s="229" t="str">
        <f t="shared" si="63"/>
        <v/>
      </c>
      <c r="J306" s="230" t="str">
        <f t="shared" si="64"/>
        <v/>
      </c>
      <c r="K306" s="230" t="str">
        <f t="shared" si="65"/>
        <v/>
      </c>
      <c r="L306" s="231" t="str">
        <f t="shared" si="62"/>
        <v/>
      </c>
      <c r="M306" s="232" t="str">
        <f t="shared" si="66"/>
        <v/>
      </c>
      <c r="N306" s="384" t="str">
        <f t="shared" si="67"/>
        <v/>
      </c>
    </row>
    <row r="307" spans="1:14" s="110" customFormat="1" ht="15" x14ac:dyDescent="0.2">
      <c r="B307" s="371"/>
      <c r="C307" s="372"/>
      <c r="D307" s="373"/>
      <c r="E307" s="374"/>
      <c r="F307" s="374"/>
      <c r="G307" s="606"/>
      <c r="H307" s="375"/>
      <c r="I307" s="229" t="str">
        <f t="shared" si="63"/>
        <v/>
      </c>
      <c r="J307" s="230" t="str">
        <f t="shared" si="64"/>
        <v/>
      </c>
      <c r="K307" s="230" t="str">
        <f t="shared" si="65"/>
        <v/>
      </c>
      <c r="L307" s="231" t="str">
        <f t="shared" si="62"/>
        <v/>
      </c>
      <c r="M307" s="232" t="str">
        <f t="shared" si="66"/>
        <v/>
      </c>
      <c r="N307" s="384" t="str">
        <f t="shared" si="67"/>
        <v/>
      </c>
    </row>
    <row r="308" spans="1:14" s="110" customFormat="1" ht="15" x14ac:dyDescent="0.2">
      <c r="B308" s="371"/>
      <c r="C308" s="372"/>
      <c r="D308" s="373"/>
      <c r="E308" s="374"/>
      <c r="F308" s="374"/>
      <c r="G308" s="606"/>
      <c r="H308" s="375"/>
      <c r="I308" s="229" t="str">
        <f t="shared" si="63"/>
        <v/>
      </c>
      <c r="J308" s="230" t="str">
        <f t="shared" si="64"/>
        <v/>
      </c>
      <c r="K308" s="230" t="str">
        <f t="shared" si="65"/>
        <v/>
      </c>
      <c r="L308" s="231" t="str">
        <f t="shared" si="62"/>
        <v/>
      </c>
      <c r="M308" s="232" t="str">
        <f t="shared" si="66"/>
        <v/>
      </c>
      <c r="N308" s="384" t="str">
        <f t="shared" si="67"/>
        <v/>
      </c>
    </row>
    <row r="309" spans="1:14" s="110" customFormat="1" ht="15" x14ac:dyDescent="0.2">
      <c r="B309" s="371"/>
      <c r="C309" s="372"/>
      <c r="D309" s="373"/>
      <c r="E309" s="374"/>
      <c r="F309" s="374"/>
      <c r="G309" s="606"/>
      <c r="H309" s="375"/>
      <c r="I309" s="229" t="str">
        <f t="shared" si="63"/>
        <v/>
      </c>
      <c r="J309" s="230" t="str">
        <f t="shared" si="64"/>
        <v/>
      </c>
      <c r="K309" s="230" t="str">
        <f t="shared" si="65"/>
        <v/>
      </c>
      <c r="L309" s="231" t="str">
        <f t="shared" si="62"/>
        <v/>
      </c>
      <c r="M309" s="232" t="str">
        <f t="shared" si="66"/>
        <v/>
      </c>
      <c r="N309" s="384" t="str">
        <f t="shared" si="67"/>
        <v/>
      </c>
    </row>
    <row r="310" spans="1:14" s="110" customFormat="1" ht="15" x14ac:dyDescent="0.2">
      <c r="B310" s="234"/>
      <c r="C310" s="235"/>
      <c r="D310" s="236"/>
      <c r="E310" s="237"/>
      <c r="F310" s="237"/>
      <c r="G310" s="607"/>
      <c r="H310" s="238"/>
      <c r="I310" s="238"/>
      <c r="J310" s="239"/>
      <c r="K310" s="240"/>
      <c r="L310" s="240"/>
      <c r="M310" s="232" t="str">
        <f t="shared" ref="M310" si="68">IFERROR(ROUND(E310/G310,2),"")</f>
        <v/>
      </c>
      <c r="N310" s="384" t="str">
        <f t="shared" ref="N310" si="69">IFERROR(ROUND(F310/E310,4),"")</f>
        <v/>
      </c>
    </row>
    <row r="311" spans="1:14" s="110" customFormat="1" ht="15.75" thickBot="1" x14ac:dyDescent="0.25">
      <c r="B311" s="241"/>
      <c r="C311" s="242"/>
      <c r="D311" s="243" t="s">
        <v>38</v>
      </c>
      <c r="E311" s="244">
        <f>SUM(E282:E310)</f>
        <v>0</v>
      </c>
      <c r="F311" s="244">
        <f>SUM(F282:F310)</f>
        <v>0</v>
      </c>
      <c r="G311" s="608">
        <f>SUM(G282:G310)</f>
        <v>0</v>
      </c>
      <c r="H311" s="246"/>
      <c r="I311" s="245">
        <f>SUM(I282:I310)</f>
        <v>0</v>
      </c>
      <c r="J311" s="244">
        <f>SUM(J282:J310)</f>
        <v>0</v>
      </c>
      <c r="K311" s="244">
        <f>SUM(K282:K310)</f>
        <v>0</v>
      </c>
      <c r="L311" s="244">
        <f>SUM(L282:L310)</f>
        <v>0</v>
      </c>
      <c r="M311" s="247" t="str">
        <f>IFERROR(ROUND(E311/G311,2),"")</f>
        <v/>
      </c>
      <c r="N311" s="385" t="str">
        <f>IFERROR(ROUND(F311/E311,4),"")</f>
        <v/>
      </c>
    </row>
    <row r="312" spans="1:14" ht="15.75" thickBot="1" x14ac:dyDescent="0.25">
      <c r="B312" s="214"/>
      <c r="C312" s="214"/>
      <c r="D312" s="214"/>
      <c r="E312" s="214"/>
      <c r="F312" s="214"/>
      <c r="G312" s="214"/>
      <c r="H312" s="277"/>
      <c r="I312" s="277"/>
      <c r="J312" s="214"/>
      <c r="K312" s="269"/>
      <c r="L312" s="214"/>
      <c r="M312" s="215"/>
      <c r="N312" s="214"/>
    </row>
    <row r="313" spans="1:14" ht="15.75" x14ac:dyDescent="0.25">
      <c r="A313" s="108">
        <v>9</v>
      </c>
      <c r="B313" s="644"/>
      <c r="C313" s="645"/>
      <c r="D313" s="645"/>
      <c r="E313" s="645"/>
      <c r="F313" s="645"/>
      <c r="G313" s="645"/>
      <c r="H313" s="645"/>
      <c r="I313" s="645"/>
      <c r="J313" s="645"/>
      <c r="K313" s="645"/>
      <c r="L313" s="645"/>
      <c r="M313" s="645"/>
      <c r="N313" s="646"/>
    </row>
    <row r="314" spans="1:14" ht="15.75" x14ac:dyDescent="0.25">
      <c r="B314" s="253" t="s">
        <v>162</v>
      </c>
      <c r="C314" s="254"/>
      <c r="D314" s="255"/>
      <c r="E314" s="256"/>
      <c r="F314" s="256"/>
      <c r="G314" s="257"/>
      <c r="H314" s="258"/>
      <c r="I314" s="258"/>
      <c r="J314" s="259"/>
      <c r="K314" s="260"/>
      <c r="L314" s="256"/>
      <c r="M314" s="261"/>
      <c r="N314" s="262"/>
    </row>
    <row r="315" spans="1:14" ht="16.5" thickBot="1" x14ac:dyDescent="0.3">
      <c r="B315" s="377"/>
      <c r="C315" s="263"/>
      <c r="D315" s="264"/>
      <c r="E315" s="205"/>
      <c r="F315" s="205"/>
      <c r="G315" s="265"/>
      <c r="H315" s="208"/>
      <c r="I315" s="208"/>
      <c r="J315" s="209"/>
      <c r="K315" s="266"/>
      <c r="L315" s="205"/>
      <c r="M315" s="211"/>
      <c r="N315" s="212"/>
    </row>
    <row r="316" spans="1:14" ht="16.5" thickBot="1" x14ac:dyDescent="0.3">
      <c r="B316" s="381"/>
      <c r="C316" s="214"/>
      <c r="D316" s="267"/>
      <c r="E316" s="207"/>
      <c r="F316" s="207"/>
      <c r="G316" s="207"/>
      <c r="H316" s="208"/>
      <c r="I316" s="258"/>
      <c r="J316" s="268"/>
      <c r="K316" s="269"/>
      <c r="L316" s="214"/>
      <c r="M316" s="215"/>
      <c r="N316" s="214"/>
    </row>
    <row r="317" spans="1:14" ht="15" x14ac:dyDescent="0.2">
      <c r="B317" s="381" t="s">
        <v>144</v>
      </c>
      <c r="C317" s="216" t="s">
        <v>145</v>
      </c>
      <c r="D317" s="216" t="s">
        <v>146</v>
      </c>
      <c r="E317" s="216" t="s">
        <v>147</v>
      </c>
      <c r="F317" s="217" t="s">
        <v>148</v>
      </c>
      <c r="G317" s="216" t="s">
        <v>157</v>
      </c>
      <c r="H317" s="217" t="s">
        <v>149</v>
      </c>
      <c r="I317" s="216" t="s">
        <v>150</v>
      </c>
      <c r="J317" s="218" t="s">
        <v>151</v>
      </c>
      <c r="K317" s="218" t="s">
        <v>158</v>
      </c>
      <c r="L317" s="218" t="s">
        <v>168</v>
      </c>
      <c r="M317" s="219" t="s">
        <v>219</v>
      </c>
      <c r="N317" s="382" t="s">
        <v>220</v>
      </c>
    </row>
    <row r="318" spans="1:14" ht="90" x14ac:dyDescent="0.2">
      <c r="B318" s="220" t="s">
        <v>152</v>
      </c>
      <c r="C318" s="221" t="s">
        <v>264</v>
      </c>
      <c r="D318" s="222" t="s">
        <v>164</v>
      </c>
      <c r="E318" s="600" t="s">
        <v>161</v>
      </c>
      <c r="F318" s="601" t="s">
        <v>154</v>
      </c>
      <c r="G318" s="223" t="s">
        <v>174</v>
      </c>
      <c r="H318" s="223" t="s">
        <v>155</v>
      </c>
      <c r="I318" s="223" t="s">
        <v>261</v>
      </c>
      <c r="J318" s="222" t="s">
        <v>153</v>
      </c>
      <c r="K318" s="222" t="s">
        <v>156</v>
      </c>
      <c r="L318" s="222" t="s">
        <v>159</v>
      </c>
      <c r="M318" s="224" t="s">
        <v>167</v>
      </c>
      <c r="N318" s="383" t="s">
        <v>166</v>
      </c>
    </row>
    <row r="319" spans="1:14" ht="15.75" x14ac:dyDescent="0.25">
      <c r="B319" s="225"/>
      <c r="C319" s="226" t="s">
        <v>162</v>
      </c>
      <c r="D319" s="222" t="s">
        <v>165</v>
      </c>
      <c r="E319" s="227"/>
      <c r="F319" s="228"/>
      <c r="G319" s="605"/>
      <c r="H319" s="223"/>
      <c r="I319" s="223"/>
      <c r="J319" s="222"/>
      <c r="K319" s="222"/>
      <c r="L319" s="222"/>
      <c r="M319" s="224"/>
      <c r="N319" s="383"/>
    </row>
    <row r="320" spans="1:14" s="110" customFormat="1" ht="15" x14ac:dyDescent="0.2">
      <c r="B320" s="371"/>
      <c r="C320" s="372"/>
      <c r="D320" s="373"/>
      <c r="E320" s="374"/>
      <c r="F320" s="374"/>
      <c r="G320" s="606"/>
      <c r="H320" s="375"/>
      <c r="I320" s="229" t="str">
        <f>IF(ISBLANK(G320),"",(ROUND(G320*H320,2)))</f>
        <v/>
      </c>
      <c r="J320" s="230" t="str">
        <f>IF(ISBLANK(E320),"",(ROUND(E320*H320,0)))</f>
        <v/>
      </c>
      <c r="K320" s="230" t="str">
        <f>IF(ISBLANK(F320),"",(ROUND(F320*H320,0)))</f>
        <v/>
      </c>
      <c r="L320" s="231" t="str">
        <f t="shared" ref="L320:L348" si="70">IFERROR(IF(C320="contract labor",J320,(ROUND(J320+K320,0))),"")</f>
        <v/>
      </c>
      <c r="M320" s="232" t="str">
        <f>IFERROR(ROUND(E320/G320,2),"")</f>
        <v/>
      </c>
      <c r="N320" s="384" t="str">
        <f>IFERROR(ROUND(F320/E320,4),"")</f>
        <v/>
      </c>
    </row>
    <row r="321" spans="2:14" s="110" customFormat="1" ht="15" x14ac:dyDescent="0.2">
      <c r="B321" s="371"/>
      <c r="C321" s="372"/>
      <c r="D321" s="373"/>
      <c r="E321" s="374"/>
      <c r="F321" s="374"/>
      <c r="G321" s="606"/>
      <c r="H321" s="375"/>
      <c r="I321" s="229" t="str">
        <f t="shared" ref="I321:I348" si="71">IF(ISBLANK(G321),"",(ROUND(G321*H321,2)))</f>
        <v/>
      </c>
      <c r="J321" s="230" t="str">
        <f t="shared" ref="J321:J348" si="72">IF(ISBLANK(E321),"",(ROUND(E321*H321,0)))</f>
        <v/>
      </c>
      <c r="K321" s="230" t="str">
        <f t="shared" ref="K321:K348" si="73">IF(ISBLANK(F321),"",(ROUND(F321*H321,0)))</f>
        <v/>
      </c>
      <c r="L321" s="231" t="str">
        <f t="shared" si="70"/>
        <v/>
      </c>
      <c r="M321" s="232" t="str">
        <f t="shared" ref="M321:M348" si="74">IFERROR(ROUND(E321/G321,2),"")</f>
        <v/>
      </c>
      <c r="N321" s="384" t="str">
        <f t="shared" ref="N321:N348" si="75">IFERROR(ROUND(F321/E321,4),"")</f>
        <v/>
      </c>
    </row>
    <row r="322" spans="2:14" s="110" customFormat="1" ht="15" x14ac:dyDescent="0.2">
      <c r="B322" s="371"/>
      <c r="C322" s="372"/>
      <c r="D322" s="373"/>
      <c r="E322" s="374"/>
      <c r="F322" s="374"/>
      <c r="G322" s="606"/>
      <c r="H322" s="375"/>
      <c r="I322" s="229" t="str">
        <f t="shared" si="71"/>
        <v/>
      </c>
      <c r="J322" s="230" t="str">
        <f t="shared" si="72"/>
        <v/>
      </c>
      <c r="K322" s="230" t="str">
        <f t="shared" si="73"/>
        <v/>
      </c>
      <c r="L322" s="231" t="str">
        <f t="shared" si="70"/>
        <v/>
      </c>
      <c r="M322" s="232" t="str">
        <f t="shared" si="74"/>
        <v/>
      </c>
      <c r="N322" s="384" t="str">
        <f t="shared" si="75"/>
        <v/>
      </c>
    </row>
    <row r="323" spans="2:14" s="110" customFormat="1" ht="15" x14ac:dyDescent="0.2">
      <c r="B323" s="371"/>
      <c r="C323" s="372"/>
      <c r="D323" s="373"/>
      <c r="E323" s="374"/>
      <c r="F323" s="374"/>
      <c r="G323" s="606"/>
      <c r="H323" s="375"/>
      <c r="I323" s="229" t="str">
        <f t="shared" si="71"/>
        <v/>
      </c>
      <c r="J323" s="230" t="str">
        <f t="shared" si="72"/>
        <v/>
      </c>
      <c r="K323" s="230" t="str">
        <f t="shared" si="73"/>
        <v/>
      </c>
      <c r="L323" s="231" t="str">
        <f t="shared" si="70"/>
        <v/>
      </c>
      <c r="M323" s="232" t="str">
        <f t="shared" si="74"/>
        <v/>
      </c>
      <c r="N323" s="384" t="str">
        <f t="shared" si="75"/>
        <v/>
      </c>
    </row>
    <row r="324" spans="2:14" s="110" customFormat="1" ht="15" x14ac:dyDescent="0.2">
      <c r="B324" s="371"/>
      <c r="C324" s="372"/>
      <c r="D324" s="373"/>
      <c r="E324" s="374"/>
      <c r="F324" s="374"/>
      <c r="G324" s="606"/>
      <c r="H324" s="375"/>
      <c r="I324" s="229" t="str">
        <f t="shared" si="71"/>
        <v/>
      </c>
      <c r="J324" s="230" t="str">
        <f t="shared" si="72"/>
        <v/>
      </c>
      <c r="K324" s="230" t="str">
        <f t="shared" si="73"/>
        <v/>
      </c>
      <c r="L324" s="231" t="str">
        <f t="shared" si="70"/>
        <v/>
      </c>
      <c r="M324" s="232" t="str">
        <f t="shared" si="74"/>
        <v/>
      </c>
      <c r="N324" s="384" t="str">
        <f t="shared" si="75"/>
        <v/>
      </c>
    </row>
    <row r="325" spans="2:14" s="110" customFormat="1" ht="15" x14ac:dyDescent="0.2">
      <c r="B325" s="371"/>
      <c r="C325" s="372"/>
      <c r="D325" s="373"/>
      <c r="E325" s="374"/>
      <c r="F325" s="374"/>
      <c r="G325" s="606"/>
      <c r="H325" s="375"/>
      <c r="I325" s="229" t="str">
        <f t="shared" si="71"/>
        <v/>
      </c>
      <c r="J325" s="230" t="str">
        <f t="shared" si="72"/>
        <v/>
      </c>
      <c r="K325" s="230" t="str">
        <f t="shared" si="73"/>
        <v/>
      </c>
      <c r="L325" s="231" t="str">
        <f t="shared" si="70"/>
        <v/>
      </c>
      <c r="M325" s="232" t="str">
        <f t="shared" si="74"/>
        <v/>
      </c>
      <c r="N325" s="384" t="str">
        <f t="shared" si="75"/>
        <v/>
      </c>
    </row>
    <row r="326" spans="2:14" s="110" customFormat="1" ht="15" x14ac:dyDescent="0.2">
      <c r="B326" s="371"/>
      <c r="C326" s="372"/>
      <c r="D326" s="373"/>
      <c r="E326" s="374"/>
      <c r="F326" s="374"/>
      <c r="G326" s="606"/>
      <c r="H326" s="375"/>
      <c r="I326" s="229" t="str">
        <f t="shared" si="71"/>
        <v/>
      </c>
      <c r="J326" s="230" t="str">
        <f t="shared" si="72"/>
        <v/>
      </c>
      <c r="K326" s="230" t="str">
        <f t="shared" si="73"/>
        <v/>
      </c>
      <c r="L326" s="231" t="str">
        <f t="shared" si="70"/>
        <v/>
      </c>
      <c r="M326" s="232" t="str">
        <f t="shared" si="74"/>
        <v/>
      </c>
      <c r="N326" s="384" t="str">
        <f t="shared" si="75"/>
        <v/>
      </c>
    </row>
    <row r="327" spans="2:14" s="110" customFormat="1" ht="15" x14ac:dyDescent="0.2">
      <c r="B327" s="371"/>
      <c r="C327" s="372"/>
      <c r="D327" s="373"/>
      <c r="E327" s="374"/>
      <c r="F327" s="374"/>
      <c r="G327" s="606"/>
      <c r="H327" s="375"/>
      <c r="I327" s="229" t="str">
        <f t="shared" si="71"/>
        <v/>
      </c>
      <c r="J327" s="230" t="str">
        <f t="shared" si="72"/>
        <v/>
      </c>
      <c r="K327" s="230" t="str">
        <f t="shared" si="73"/>
        <v/>
      </c>
      <c r="L327" s="231" t="str">
        <f t="shared" si="70"/>
        <v/>
      </c>
      <c r="M327" s="232" t="str">
        <f t="shared" si="74"/>
        <v/>
      </c>
      <c r="N327" s="384" t="str">
        <f t="shared" si="75"/>
        <v/>
      </c>
    </row>
    <row r="328" spans="2:14" s="110" customFormat="1" ht="15" x14ac:dyDescent="0.2">
      <c r="B328" s="371"/>
      <c r="C328" s="372"/>
      <c r="D328" s="373"/>
      <c r="E328" s="374"/>
      <c r="F328" s="374"/>
      <c r="G328" s="606"/>
      <c r="H328" s="375"/>
      <c r="I328" s="229" t="str">
        <f t="shared" si="71"/>
        <v/>
      </c>
      <c r="J328" s="230" t="str">
        <f t="shared" si="72"/>
        <v/>
      </c>
      <c r="K328" s="230" t="str">
        <f t="shared" si="73"/>
        <v/>
      </c>
      <c r="L328" s="231" t="str">
        <f t="shared" si="70"/>
        <v/>
      </c>
      <c r="M328" s="232" t="str">
        <f t="shared" si="74"/>
        <v/>
      </c>
      <c r="N328" s="384" t="str">
        <f t="shared" si="75"/>
        <v/>
      </c>
    </row>
    <row r="329" spans="2:14" s="110" customFormat="1" ht="15" x14ac:dyDescent="0.2">
      <c r="B329" s="371"/>
      <c r="C329" s="372"/>
      <c r="D329" s="373"/>
      <c r="E329" s="374"/>
      <c r="F329" s="374"/>
      <c r="G329" s="606"/>
      <c r="H329" s="375"/>
      <c r="I329" s="229" t="str">
        <f t="shared" si="71"/>
        <v/>
      </c>
      <c r="J329" s="230" t="str">
        <f t="shared" si="72"/>
        <v/>
      </c>
      <c r="K329" s="230" t="str">
        <f t="shared" si="73"/>
        <v/>
      </c>
      <c r="L329" s="231" t="str">
        <f t="shared" si="70"/>
        <v/>
      </c>
      <c r="M329" s="232" t="str">
        <f t="shared" si="74"/>
        <v/>
      </c>
      <c r="N329" s="384" t="str">
        <f t="shared" si="75"/>
        <v/>
      </c>
    </row>
    <row r="330" spans="2:14" s="110" customFormat="1" ht="15" x14ac:dyDescent="0.2">
      <c r="B330" s="371"/>
      <c r="C330" s="372"/>
      <c r="D330" s="373"/>
      <c r="E330" s="374"/>
      <c r="F330" s="374"/>
      <c r="G330" s="606"/>
      <c r="H330" s="375"/>
      <c r="I330" s="229" t="str">
        <f t="shared" si="71"/>
        <v/>
      </c>
      <c r="J330" s="230" t="str">
        <f t="shared" si="72"/>
        <v/>
      </c>
      <c r="K330" s="230" t="str">
        <f t="shared" si="73"/>
        <v/>
      </c>
      <c r="L330" s="231" t="str">
        <f t="shared" si="70"/>
        <v/>
      </c>
      <c r="M330" s="232" t="str">
        <f t="shared" si="74"/>
        <v/>
      </c>
      <c r="N330" s="384" t="str">
        <f t="shared" si="75"/>
        <v/>
      </c>
    </row>
    <row r="331" spans="2:14" s="110" customFormat="1" ht="15" x14ac:dyDescent="0.2">
      <c r="B331" s="371"/>
      <c r="C331" s="372"/>
      <c r="D331" s="373"/>
      <c r="E331" s="374"/>
      <c r="F331" s="374"/>
      <c r="G331" s="606"/>
      <c r="H331" s="375"/>
      <c r="I331" s="229" t="str">
        <f t="shared" si="71"/>
        <v/>
      </c>
      <c r="J331" s="230" t="str">
        <f t="shared" si="72"/>
        <v/>
      </c>
      <c r="K331" s="230" t="str">
        <f t="shared" si="73"/>
        <v/>
      </c>
      <c r="L331" s="231" t="str">
        <f t="shared" si="70"/>
        <v/>
      </c>
      <c r="M331" s="232" t="str">
        <f t="shared" si="74"/>
        <v/>
      </c>
      <c r="N331" s="384" t="str">
        <f t="shared" si="75"/>
        <v/>
      </c>
    </row>
    <row r="332" spans="2:14" s="110" customFormat="1" ht="15" x14ac:dyDescent="0.2">
      <c r="B332" s="371"/>
      <c r="C332" s="372"/>
      <c r="D332" s="373"/>
      <c r="E332" s="374"/>
      <c r="F332" s="374"/>
      <c r="G332" s="606"/>
      <c r="H332" s="375"/>
      <c r="I332" s="229" t="str">
        <f t="shared" si="71"/>
        <v/>
      </c>
      <c r="J332" s="230" t="str">
        <f t="shared" si="72"/>
        <v/>
      </c>
      <c r="K332" s="230" t="str">
        <f t="shared" si="73"/>
        <v/>
      </c>
      <c r="L332" s="231" t="str">
        <f t="shared" si="70"/>
        <v/>
      </c>
      <c r="M332" s="232" t="str">
        <f t="shared" si="74"/>
        <v/>
      </c>
      <c r="N332" s="384" t="str">
        <f t="shared" si="75"/>
        <v/>
      </c>
    </row>
    <row r="333" spans="2:14" s="110" customFormat="1" ht="15" x14ac:dyDescent="0.2">
      <c r="B333" s="371"/>
      <c r="C333" s="372"/>
      <c r="D333" s="373"/>
      <c r="E333" s="374"/>
      <c r="F333" s="374"/>
      <c r="G333" s="606"/>
      <c r="H333" s="375"/>
      <c r="I333" s="229" t="str">
        <f t="shared" si="71"/>
        <v/>
      </c>
      <c r="J333" s="230" t="str">
        <f t="shared" si="72"/>
        <v/>
      </c>
      <c r="K333" s="230" t="str">
        <f t="shared" si="73"/>
        <v/>
      </c>
      <c r="L333" s="231" t="str">
        <f t="shared" si="70"/>
        <v/>
      </c>
      <c r="M333" s="232" t="str">
        <f t="shared" si="74"/>
        <v/>
      </c>
      <c r="N333" s="384" t="str">
        <f t="shared" si="75"/>
        <v/>
      </c>
    </row>
    <row r="334" spans="2:14" s="110" customFormat="1" ht="15" x14ac:dyDescent="0.2">
      <c r="B334" s="371"/>
      <c r="C334" s="372"/>
      <c r="D334" s="373"/>
      <c r="E334" s="374"/>
      <c r="F334" s="374"/>
      <c r="G334" s="606"/>
      <c r="H334" s="375"/>
      <c r="I334" s="229" t="str">
        <f t="shared" si="71"/>
        <v/>
      </c>
      <c r="J334" s="230" t="str">
        <f t="shared" si="72"/>
        <v/>
      </c>
      <c r="K334" s="230" t="str">
        <f t="shared" si="73"/>
        <v/>
      </c>
      <c r="L334" s="231" t="str">
        <f t="shared" si="70"/>
        <v/>
      </c>
      <c r="M334" s="232" t="str">
        <f t="shared" si="74"/>
        <v/>
      </c>
      <c r="N334" s="384" t="str">
        <f t="shared" si="75"/>
        <v/>
      </c>
    </row>
    <row r="335" spans="2:14" s="110" customFormat="1" ht="15" x14ac:dyDescent="0.2">
      <c r="B335" s="371"/>
      <c r="C335" s="372"/>
      <c r="D335" s="373"/>
      <c r="E335" s="374"/>
      <c r="F335" s="374"/>
      <c r="G335" s="606"/>
      <c r="H335" s="375"/>
      <c r="I335" s="229" t="str">
        <f t="shared" si="71"/>
        <v/>
      </c>
      <c r="J335" s="230" t="str">
        <f t="shared" si="72"/>
        <v/>
      </c>
      <c r="K335" s="230" t="str">
        <f t="shared" si="73"/>
        <v/>
      </c>
      <c r="L335" s="231" t="str">
        <f t="shared" si="70"/>
        <v/>
      </c>
      <c r="M335" s="232" t="str">
        <f t="shared" si="74"/>
        <v/>
      </c>
      <c r="N335" s="384" t="str">
        <f t="shared" si="75"/>
        <v/>
      </c>
    </row>
    <row r="336" spans="2:14" s="110" customFormat="1" ht="15" x14ac:dyDescent="0.2">
      <c r="B336" s="371"/>
      <c r="C336" s="372"/>
      <c r="D336" s="373"/>
      <c r="E336" s="374"/>
      <c r="F336" s="374"/>
      <c r="G336" s="606"/>
      <c r="H336" s="375"/>
      <c r="I336" s="229" t="str">
        <f t="shared" si="71"/>
        <v/>
      </c>
      <c r="J336" s="230" t="str">
        <f t="shared" si="72"/>
        <v/>
      </c>
      <c r="K336" s="230" t="str">
        <f t="shared" si="73"/>
        <v/>
      </c>
      <c r="L336" s="231" t="str">
        <f t="shared" si="70"/>
        <v/>
      </c>
      <c r="M336" s="232" t="str">
        <f t="shared" si="74"/>
        <v/>
      </c>
      <c r="N336" s="384" t="str">
        <f t="shared" si="75"/>
        <v/>
      </c>
    </row>
    <row r="337" spans="1:14" s="110" customFormat="1" ht="15" x14ac:dyDescent="0.2">
      <c r="B337" s="371"/>
      <c r="C337" s="372"/>
      <c r="D337" s="373"/>
      <c r="E337" s="374"/>
      <c r="F337" s="374"/>
      <c r="G337" s="606"/>
      <c r="H337" s="375"/>
      <c r="I337" s="229" t="str">
        <f t="shared" si="71"/>
        <v/>
      </c>
      <c r="J337" s="230" t="str">
        <f t="shared" si="72"/>
        <v/>
      </c>
      <c r="K337" s="230" t="str">
        <f t="shared" si="73"/>
        <v/>
      </c>
      <c r="L337" s="231" t="str">
        <f t="shared" si="70"/>
        <v/>
      </c>
      <c r="M337" s="232" t="str">
        <f t="shared" si="74"/>
        <v/>
      </c>
      <c r="N337" s="384" t="str">
        <f t="shared" si="75"/>
        <v/>
      </c>
    </row>
    <row r="338" spans="1:14" s="110" customFormat="1" ht="15" x14ac:dyDescent="0.2">
      <c r="B338" s="371"/>
      <c r="C338" s="372"/>
      <c r="D338" s="373"/>
      <c r="E338" s="374"/>
      <c r="F338" s="374"/>
      <c r="G338" s="606"/>
      <c r="H338" s="375"/>
      <c r="I338" s="229" t="str">
        <f t="shared" si="71"/>
        <v/>
      </c>
      <c r="J338" s="230" t="str">
        <f t="shared" si="72"/>
        <v/>
      </c>
      <c r="K338" s="230" t="str">
        <f t="shared" si="73"/>
        <v/>
      </c>
      <c r="L338" s="231" t="str">
        <f t="shared" si="70"/>
        <v/>
      </c>
      <c r="M338" s="232" t="str">
        <f t="shared" si="74"/>
        <v/>
      </c>
      <c r="N338" s="384" t="str">
        <f t="shared" si="75"/>
        <v/>
      </c>
    </row>
    <row r="339" spans="1:14" s="110" customFormat="1" ht="15" x14ac:dyDescent="0.2">
      <c r="B339" s="371"/>
      <c r="C339" s="372"/>
      <c r="D339" s="373"/>
      <c r="E339" s="374"/>
      <c r="F339" s="374"/>
      <c r="G339" s="606"/>
      <c r="H339" s="375"/>
      <c r="I339" s="229" t="str">
        <f t="shared" si="71"/>
        <v/>
      </c>
      <c r="J339" s="230" t="str">
        <f t="shared" si="72"/>
        <v/>
      </c>
      <c r="K339" s="230" t="str">
        <f t="shared" si="73"/>
        <v/>
      </c>
      <c r="L339" s="231" t="str">
        <f t="shared" si="70"/>
        <v/>
      </c>
      <c r="M339" s="232" t="str">
        <f t="shared" si="74"/>
        <v/>
      </c>
      <c r="N339" s="384" t="str">
        <f t="shared" si="75"/>
        <v/>
      </c>
    </row>
    <row r="340" spans="1:14" s="110" customFormat="1" ht="15" x14ac:dyDescent="0.2">
      <c r="B340" s="371"/>
      <c r="C340" s="372"/>
      <c r="D340" s="373"/>
      <c r="E340" s="374"/>
      <c r="F340" s="374"/>
      <c r="G340" s="606"/>
      <c r="H340" s="375"/>
      <c r="I340" s="229" t="str">
        <f t="shared" si="71"/>
        <v/>
      </c>
      <c r="J340" s="230" t="str">
        <f t="shared" si="72"/>
        <v/>
      </c>
      <c r="K340" s="230" t="str">
        <f t="shared" si="73"/>
        <v/>
      </c>
      <c r="L340" s="231" t="str">
        <f t="shared" si="70"/>
        <v/>
      </c>
      <c r="M340" s="232" t="str">
        <f t="shared" si="74"/>
        <v/>
      </c>
      <c r="N340" s="384" t="str">
        <f t="shared" si="75"/>
        <v/>
      </c>
    </row>
    <row r="341" spans="1:14" s="110" customFormat="1" ht="15" x14ac:dyDescent="0.2">
      <c r="B341" s="371"/>
      <c r="C341" s="372"/>
      <c r="D341" s="373"/>
      <c r="E341" s="374"/>
      <c r="F341" s="374"/>
      <c r="G341" s="606"/>
      <c r="H341" s="375"/>
      <c r="I341" s="229" t="str">
        <f t="shared" si="71"/>
        <v/>
      </c>
      <c r="J341" s="230" t="str">
        <f t="shared" si="72"/>
        <v/>
      </c>
      <c r="K341" s="230" t="str">
        <f t="shared" si="73"/>
        <v/>
      </c>
      <c r="L341" s="231" t="str">
        <f t="shared" si="70"/>
        <v/>
      </c>
      <c r="M341" s="232" t="str">
        <f t="shared" si="74"/>
        <v/>
      </c>
      <c r="N341" s="384" t="str">
        <f t="shared" si="75"/>
        <v/>
      </c>
    </row>
    <row r="342" spans="1:14" s="110" customFormat="1" ht="15" x14ac:dyDescent="0.2">
      <c r="B342" s="371"/>
      <c r="C342" s="372"/>
      <c r="D342" s="373"/>
      <c r="E342" s="374"/>
      <c r="F342" s="374"/>
      <c r="G342" s="606"/>
      <c r="H342" s="375"/>
      <c r="I342" s="229" t="str">
        <f t="shared" si="71"/>
        <v/>
      </c>
      <c r="J342" s="230" t="str">
        <f t="shared" si="72"/>
        <v/>
      </c>
      <c r="K342" s="230" t="str">
        <f t="shared" si="73"/>
        <v/>
      </c>
      <c r="L342" s="231" t="str">
        <f t="shared" si="70"/>
        <v/>
      </c>
      <c r="M342" s="232" t="str">
        <f t="shared" si="74"/>
        <v/>
      </c>
      <c r="N342" s="384" t="str">
        <f t="shared" si="75"/>
        <v/>
      </c>
    </row>
    <row r="343" spans="1:14" s="110" customFormat="1" ht="15" x14ac:dyDescent="0.2">
      <c r="B343" s="371"/>
      <c r="C343" s="372"/>
      <c r="D343" s="373"/>
      <c r="E343" s="374"/>
      <c r="F343" s="374"/>
      <c r="G343" s="606"/>
      <c r="H343" s="375"/>
      <c r="I343" s="229" t="str">
        <f t="shared" si="71"/>
        <v/>
      </c>
      <c r="J343" s="230" t="str">
        <f t="shared" si="72"/>
        <v/>
      </c>
      <c r="K343" s="230" t="str">
        <f t="shared" si="73"/>
        <v/>
      </c>
      <c r="L343" s="231" t="str">
        <f t="shared" si="70"/>
        <v/>
      </c>
      <c r="M343" s="232" t="str">
        <f t="shared" si="74"/>
        <v/>
      </c>
      <c r="N343" s="384" t="str">
        <f t="shared" si="75"/>
        <v/>
      </c>
    </row>
    <row r="344" spans="1:14" s="110" customFormat="1" ht="15" x14ac:dyDescent="0.2">
      <c r="B344" s="371"/>
      <c r="C344" s="372"/>
      <c r="D344" s="373"/>
      <c r="E344" s="374"/>
      <c r="F344" s="374"/>
      <c r="G344" s="606"/>
      <c r="H344" s="375"/>
      <c r="I344" s="229" t="str">
        <f t="shared" si="71"/>
        <v/>
      </c>
      <c r="J344" s="230" t="str">
        <f t="shared" si="72"/>
        <v/>
      </c>
      <c r="K344" s="230" t="str">
        <f t="shared" si="73"/>
        <v/>
      </c>
      <c r="L344" s="231" t="str">
        <f t="shared" si="70"/>
        <v/>
      </c>
      <c r="M344" s="232" t="str">
        <f t="shared" si="74"/>
        <v/>
      </c>
      <c r="N344" s="384" t="str">
        <f t="shared" si="75"/>
        <v/>
      </c>
    </row>
    <row r="345" spans="1:14" s="110" customFormat="1" ht="15" x14ac:dyDescent="0.2">
      <c r="B345" s="371"/>
      <c r="C345" s="372"/>
      <c r="D345" s="373"/>
      <c r="E345" s="374"/>
      <c r="F345" s="374"/>
      <c r="G345" s="606"/>
      <c r="H345" s="375"/>
      <c r="I345" s="229" t="str">
        <f t="shared" si="71"/>
        <v/>
      </c>
      <c r="J345" s="230" t="str">
        <f t="shared" si="72"/>
        <v/>
      </c>
      <c r="K345" s="230" t="str">
        <f t="shared" si="73"/>
        <v/>
      </c>
      <c r="L345" s="231" t="str">
        <f t="shared" si="70"/>
        <v/>
      </c>
      <c r="M345" s="232" t="str">
        <f t="shared" si="74"/>
        <v/>
      </c>
      <c r="N345" s="384" t="str">
        <f t="shared" si="75"/>
        <v/>
      </c>
    </row>
    <row r="346" spans="1:14" s="110" customFormat="1" ht="15" x14ac:dyDescent="0.2">
      <c r="B346" s="371"/>
      <c r="C346" s="372"/>
      <c r="D346" s="373"/>
      <c r="E346" s="374"/>
      <c r="F346" s="374"/>
      <c r="G346" s="606"/>
      <c r="H346" s="375"/>
      <c r="I346" s="229" t="str">
        <f t="shared" si="71"/>
        <v/>
      </c>
      <c r="J346" s="230" t="str">
        <f t="shared" si="72"/>
        <v/>
      </c>
      <c r="K346" s="230" t="str">
        <f t="shared" si="73"/>
        <v/>
      </c>
      <c r="L346" s="231" t="str">
        <f t="shared" si="70"/>
        <v/>
      </c>
      <c r="M346" s="232" t="str">
        <f t="shared" si="74"/>
        <v/>
      </c>
      <c r="N346" s="384" t="str">
        <f t="shared" si="75"/>
        <v/>
      </c>
    </row>
    <row r="347" spans="1:14" s="110" customFormat="1" ht="15" x14ac:dyDescent="0.2">
      <c r="B347" s="371"/>
      <c r="C347" s="372"/>
      <c r="D347" s="373"/>
      <c r="E347" s="374"/>
      <c r="F347" s="374"/>
      <c r="G347" s="606"/>
      <c r="H347" s="375"/>
      <c r="I347" s="229" t="str">
        <f t="shared" si="71"/>
        <v/>
      </c>
      <c r="J347" s="230" t="str">
        <f t="shared" si="72"/>
        <v/>
      </c>
      <c r="K347" s="230" t="str">
        <f t="shared" si="73"/>
        <v/>
      </c>
      <c r="L347" s="231" t="str">
        <f t="shared" si="70"/>
        <v/>
      </c>
      <c r="M347" s="232" t="str">
        <f t="shared" si="74"/>
        <v/>
      </c>
      <c r="N347" s="384" t="str">
        <f t="shared" si="75"/>
        <v/>
      </c>
    </row>
    <row r="348" spans="1:14" s="110" customFormat="1" ht="15" x14ac:dyDescent="0.2">
      <c r="B348" s="371"/>
      <c r="C348" s="372"/>
      <c r="D348" s="373"/>
      <c r="E348" s="374"/>
      <c r="F348" s="374"/>
      <c r="G348" s="606"/>
      <c r="H348" s="375"/>
      <c r="I348" s="229" t="str">
        <f t="shared" si="71"/>
        <v/>
      </c>
      <c r="J348" s="230" t="str">
        <f t="shared" si="72"/>
        <v/>
      </c>
      <c r="K348" s="230" t="str">
        <f t="shared" si="73"/>
        <v/>
      </c>
      <c r="L348" s="231" t="str">
        <f t="shared" si="70"/>
        <v/>
      </c>
      <c r="M348" s="232" t="str">
        <f t="shared" si="74"/>
        <v/>
      </c>
      <c r="N348" s="384" t="str">
        <f t="shared" si="75"/>
        <v/>
      </c>
    </row>
    <row r="349" spans="1:14" s="110" customFormat="1" ht="15" x14ac:dyDescent="0.2">
      <c r="B349" s="234"/>
      <c r="C349" s="235"/>
      <c r="D349" s="236"/>
      <c r="E349" s="237"/>
      <c r="F349" s="237"/>
      <c r="G349" s="607"/>
      <c r="H349" s="238"/>
      <c r="I349" s="238"/>
      <c r="J349" s="239"/>
      <c r="K349" s="240"/>
      <c r="L349" s="240"/>
      <c r="M349" s="232" t="str">
        <f t="shared" ref="M349" si="76">IFERROR(ROUND(E349/G349,2),"")</f>
        <v/>
      </c>
      <c r="N349" s="384" t="str">
        <f t="shared" ref="N349" si="77">IFERROR(ROUND(F349/E349,4),"")</f>
        <v/>
      </c>
    </row>
    <row r="350" spans="1:14" s="110" customFormat="1" ht="15.75" thickBot="1" x14ac:dyDescent="0.25">
      <c r="B350" s="241"/>
      <c r="C350" s="242"/>
      <c r="D350" s="243" t="s">
        <v>38</v>
      </c>
      <c r="E350" s="244">
        <f>SUM(E320:E349)</f>
        <v>0</v>
      </c>
      <c r="F350" s="244">
        <f>SUM(F320:F349)</f>
        <v>0</v>
      </c>
      <c r="G350" s="608">
        <f>SUM(G320:G349)</f>
        <v>0</v>
      </c>
      <c r="H350" s="246"/>
      <c r="I350" s="245">
        <f>SUM(I320:I349)</f>
        <v>0</v>
      </c>
      <c r="J350" s="244">
        <f>SUM(J320:J349)</f>
        <v>0</v>
      </c>
      <c r="K350" s="244">
        <f>SUM(K320:K349)</f>
        <v>0</v>
      </c>
      <c r="L350" s="244">
        <f>SUM(L320:L349)</f>
        <v>0</v>
      </c>
      <c r="M350" s="247" t="str">
        <f>IFERROR(ROUND(E350/G350,2),"")</f>
        <v/>
      </c>
      <c r="N350" s="385" t="str">
        <f>IFERROR(ROUND(F350/E350,4),"")</f>
        <v/>
      </c>
    </row>
    <row r="351" spans="1:14" ht="15.75" thickBot="1" x14ac:dyDescent="0.25">
      <c r="B351" s="214"/>
      <c r="C351" s="214"/>
      <c r="D351" s="214"/>
      <c r="E351" s="214"/>
      <c r="F351" s="214"/>
      <c r="G351" s="214"/>
      <c r="H351" s="277"/>
      <c r="I351" s="277"/>
      <c r="J351" s="214"/>
      <c r="K351" s="269"/>
      <c r="L351" s="214"/>
      <c r="M351" s="215"/>
      <c r="N351" s="214"/>
    </row>
    <row r="352" spans="1:14" ht="15.75" x14ac:dyDescent="0.25">
      <c r="A352" s="108">
        <v>10</v>
      </c>
      <c r="B352" s="644"/>
      <c r="C352" s="645"/>
      <c r="D352" s="645"/>
      <c r="E352" s="645"/>
      <c r="F352" s="645"/>
      <c r="G352" s="645"/>
      <c r="H352" s="645"/>
      <c r="I352" s="645"/>
      <c r="J352" s="645"/>
      <c r="K352" s="645"/>
      <c r="L352" s="645"/>
      <c r="M352" s="645"/>
      <c r="N352" s="646"/>
    </row>
    <row r="353" spans="2:14" ht="15.75" x14ac:dyDescent="0.25">
      <c r="B353" s="253" t="s">
        <v>162</v>
      </c>
      <c r="C353" s="254"/>
      <c r="D353" s="255"/>
      <c r="E353" s="256"/>
      <c r="F353" s="256"/>
      <c r="G353" s="257"/>
      <c r="H353" s="258"/>
      <c r="I353" s="258"/>
      <c r="J353" s="259"/>
      <c r="K353" s="260"/>
      <c r="L353" s="256"/>
      <c r="M353" s="261"/>
      <c r="N353" s="262"/>
    </row>
    <row r="354" spans="2:14" ht="16.5" thickBot="1" x14ac:dyDescent="0.3">
      <c r="B354" s="377"/>
      <c r="C354" s="263"/>
      <c r="D354" s="264"/>
      <c r="E354" s="205"/>
      <c r="F354" s="205"/>
      <c r="G354" s="265"/>
      <c r="H354" s="208"/>
      <c r="I354" s="208"/>
      <c r="J354" s="209"/>
      <c r="K354" s="266"/>
      <c r="L354" s="205"/>
      <c r="M354" s="211"/>
      <c r="N354" s="212"/>
    </row>
    <row r="355" spans="2:14" ht="16.5" thickBot="1" x14ac:dyDescent="0.3">
      <c r="B355" s="381"/>
      <c r="C355" s="214"/>
      <c r="D355" s="267"/>
      <c r="E355" s="207"/>
      <c r="F355" s="207"/>
      <c r="G355" s="207"/>
      <c r="H355" s="208"/>
      <c r="I355" s="258"/>
      <c r="J355" s="268"/>
      <c r="K355" s="269"/>
      <c r="L355" s="214"/>
      <c r="M355" s="215"/>
      <c r="N355" s="214"/>
    </row>
    <row r="356" spans="2:14" ht="15" x14ac:dyDescent="0.2">
      <c r="B356" s="381" t="s">
        <v>144</v>
      </c>
      <c r="C356" s="216" t="s">
        <v>145</v>
      </c>
      <c r="D356" s="216" t="s">
        <v>146</v>
      </c>
      <c r="E356" s="216" t="s">
        <v>147</v>
      </c>
      <c r="F356" s="217" t="s">
        <v>148</v>
      </c>
      <c r="G356" s="216" t="s">
        <v>157</v>
      </c>
      <c r="H356" s="217" t="s">
        <v>149</v>
      </c>
      <c r="I356" s="216" t="s">
        <v>150</v>
      </c>
      <c r="J356" s="218" t="s">
        <v>151</v>
      </c>
      <c r="K356" s="218" t="s">
        <v>158</v>
      </c>
      <c r="L356" s="218" t="s">
        <v>168</v>
      </c>
      <c r="M356" s="219" t="s">
        <v>219</v>
      </c>
      <c r="N356" s="382" t="s">
        <v>220</v>
      </c>
    </row>
    <row r="357" spans="2:14" ht="90" x14ac:dyDescent="0.2">
      <c r="B357" s="220" t="s">
        <v>152</v>
      </c>
      <c r="C357" s="221" t="s">
        <v>264</v>
      </c>
      <c r="D357" s="222" t="s">
        <v>164</v>
      </c>
      <c r="E357" s="600" t="s">
        <v>161</v>
      </c>
      <c r="F357" s="601" t="s">
        <v>154</v>
      </c>
      <c r="G357" s="223" t="s">
        <v>174</v>
      </c>
      <c r="H357" s="223" t="s">
        <v>155</v>
      </c>
      <c r="I357" s="223" t="s">
        <v>261</v>
      </c>
      <c r="J357" s="222" t="s">
        <v>153</v>
      </c>
      <c r="K357" s="222" t="s">
        <v>156</v>
      </c>
      <c r="L357" s="222" t="s">
        <v>159</v>
      </c>
      <c r="M357" s="224" t="s">
        <v>167</v>
      </c>
      <c r="N357" s="383" t="s">
        <v>166</v>
      </c>
    </row>
    <row r="358" spans="2:14" ht="15.75" x14ac:dyDescent="0.25">
      <c r="B358" s="225"/>
      <c r="C358" s="226" t="s">
        <v>162</v>
      </c>
      <c r="D358" s="222" t="s">
        <v>165</v>
      </c>
      <c r="E358" s="227"/>
      <c r="F358" s="228"/>
      <c r="G358" s="605"/>
      <c r="H358" s="223"/>
      <c r="I358" s="223"/>
      <c r="J358" s="222"/>
      <c r="K358" s="222"/>
      <c r="L358" s="222"/>
      <c r="M358" s="224"/>
      <c r="N358" s="383"/>
    </row>
    <row r="359" spans="2:14" s="110" customFormat="1" ht="15" x14ac:dyDescent="0.2">
      <c r="B359" s="371"/>
      <c r="C359" s="372"/>
      <c r="D359" s="373"/>
      <c r="E359" s="374"/>
      <c r="F359" s="374"/>
      <c r="G359" s="606"/>
      <c r="H359" s="375"/>
      <c r="I359" s="229" t="str">
        <f>IF(ISBLANK(G359),"",(ROUND(G359*H359,2)))</f>
        <v/>
      </c>
      <c r="J359" s="230" t="str">
        <f>IF(ISBLANK(E359),"",(ROUND(E359*H359,0)))</f>
        <v/>
      </c>
      <c r="K359" s="230" t="str">
        <f>IF(ISBLANK(F359),"",(ROUND(F359*H359,0)))</f>
        <v/>
      </c>
      <c r="L359" s="231" t="str">
        <f t="shared" ref="L359:L388" si="78">IFERROR(IF(C359="contract labor",J359,(ROUND(J359+K359,0))),"")</f>
        <v/>
      </c>
      <c r="M359" s="232" t="str">
        <f>IFERROR(ROUND(E359/G359,2),"")</f>
        <v/>
      </c>
      <c r="N359" s="384" t="str">
        <f>IFERROR(ROUND(F359/E359,4),"")</f>
        <v/>
      </c>
    </row>
    <row r="360" spans="2:14" s="110" customFormat="1" ht="15" x14ac:dyDescent="0.2">
      <c r="B360" s="371"/>
      <c r="C360" s="372"/>
      <c r="D360" s="373"/>
      <c r="E360" s="374"/>
      <c r="F360" s="374"/>
      <c r="G360" s="606"/>
      <c r="H360" s="375"/>
      <c r="I360" s="229" t="str">
        <f t="shared" ref="I360:I388" si="79">IF(ISBLANK(G360),"",(ROUND(G360*H360,2)))</f>
        <v/>
      </c>
      <c r="J360" s="230" t="str">
        <f t="shared" ref="J360:J388" si="80">IF(ISBLANK(E360),"",(ROUND(E360*H360,0)))</f>
        <v/>
      </c>
      <c r="K360" s="230" t="str">
        <f t="shared" ref="K360:K388" si="81">IF(ISBLANK(F360),"",(ROUND(F360*H360,0)))</f>
        <v/>
      </c>
      <c r="L360" s="231" t="str">
        <f t="shared" si="78"/>
        <v/>
      </c>
      <c r="M360" s="232" t="str">
        <f t="shared" ref="M360:M388" si="82">IFERROR(ROUND(E360/G360,2),"")</f>
        <v/>
      </c>
      <c r="N360" s="384" t="str">
        <f t="shared" ref="N360:N388" si="83">IFERROR(ROUND(F360/E360,4),"")</f>
        <v/>
      </c>
    </row>
    <row r="361" spans="2:14" s="110" customFormat="1" ht="15" x14ac:dyDescent="0.2">
      <c r="B361" s="371"/>
      <c r="C361" s="372"/>
      <c r="D361" s="373"/>
      <c r="E361" s="374"/>
      <c r="F361" s="374"/>
      <c r="G361" s="606"/>
      <c r="H361" s="375"/>
      <c r="I361" s="229" t="str">
        <f t="shared" si="79"/>
        <v/>
      </c>
      <c r="J361" s="230" t="str">
        <f t="shared" si="80"/>
        <v/>
      </c>
      <c r="K361" s="230" t="str">
        <f t="shared" si="81"/>
        <v/>
      </c>
      <c r="L361" s="231" t="str">
        <f t="shared" si="78"/>
        <v/>
      </c>
      <c r="M361" s="232" t="str">
        <f t="shared" si="82"/>
        <v/>
      </c>
      <c r="N361" s="384" t="str">
        <f t="shared" si="83"/>
        <v/>
      </c>
    </row>
    <row r="362" spans="2:14" s="110" customFormat="1" ht="15" x14ac:dyDescent="0.2">
      <c r="B362" s="371"/>
      <c r="C362" s="372"/>
      <c r="D362" s="373"/>
      <c r="E362" s="374"/>
      <c r="F362" s="374"/>
      <c r="G362" s="606"/>
      <c r="H362" s="375"/>
      <c r="I362" s="229" t="str">
        <f t="shared" si="79"/>
        <v/>
      </c>
      <c r="J362" s="230" t="str">
        <f t="shared" si="80"/>
        <v/>
      </c>
      <c r="K362" s="230" t="str">
        <f t="shared" si="81"/>
        <v/>
      </c>
      <c r="L362" s="231" t="str">
        <f t="shared" si="78"/>
        <v/>
      </c>
      <c r="M362" s="232" t="str">
        <f t="shared" si="82"/>
        <v/>
      </c>
      <c r="N362" s="384" t="str">
        <f t="shared" si="83"/>
        <v/>
      </c>
    </row>
    <row r="363" spans="2:14" s="110" customFormat="1" ht="15" x14ac:dyDescent="0.2">
      <c r="B363" s="371"/>
      <c r="C363" s="372"/>
      <c r="D363" s="373"/>
      <c r="E363" s="374"/>
      <c r="F363" s="374"/>
      <c r="G363" s="606"/>
      <c r="H363" s="375"/>
      <c r="I363" s="229" t="str">
        <f t="shared" si="79"/>
        <v/>
      </c>
      <c r="J363" s="230" t="str">
        <f t="shared" si="80"/>
        <v/>
      </c>
      <c r="K363" s="230" t="str">
        <f t="shared" si="81"/>
        <v/>
      </c>
      <c r="L363" s="231" t="str">
        <f t="shared" si="78"/>
        <v/>
      </c>
      <c r="M363" s="232" t="str">
        <f t="shared" si="82"/>
        <v/>
      </c>
      <c r="N363" s="384" t="str">
        <f t="shared" si="83"/>
        <v/>
      </c>
    </row>
    <row r="364" spans="2:14" s="110" customFormat="1" ht="15" x14ac:dyDescent="0.2">
      <c r="B364" s="371"/>
      <c r="C364" s="372"/>
      <c r="D364" s="373"/>
      <c r="E364" s="374"/>
      <c r="F364" s="374"/>
      <c r="G364" s="606"/>
      <c r="H364" s="375"/>
      <c r="I364" s="229" t="str">
        <f t="shared" si="79"/>
        <v/>
      </c>
      <c r="J364" s="230" t="str">
        <f t="shared" si="80"/>
        <v/>
      </c>
      <c r="K364" s="230" t="str">
        <f t="shared" si="81"/>
        <v/>
      </c>
      <c r="L364" s="231" t="str">
        <f t="shared" si="78"/>
        <v/>
      </c>
      <c r="M364" s="232" t="str">
        <f t="shared" si="82"/>
        <v/>
      </c>
      <c r="N364" s="384" t="str">
        <f t="shared" si="83"/>
        <v/>
      </c>
    </row>
    <row r="365" spans="2:14" s="110" customFormat="1" ht="15" x14ac:dyDescent="0.2">
      <c r="B365" s="371"/>
      <c r="C365" s="372"/>
      <c r="D365" s="373"/>
      <c r="E365" s="374"/>
      <c r="F365" s="374"/>
      <c r="G365" s="606"/>
      <c r="H365" s="375"/>
      <c r="I365" s="229" t="str">
        <f t="shared" si="79"/>
        <v/>
      </c>
      <c r="J365" s="230" t="str">
        <f t="shared" si="80"/>
        <v/>
      </c>
      <c r="K365" s="230" t="str">
        <f t="shared" si="81"/>
        <v/>
      </c>
      <c r="L365" s="231" t="str">
        <f t="shared" si="78"/>
        <v/>
      </c>
      <c r="M365" s="232" t="str">
        <f t="shared" si="82"/>
        <v/>
      </c>
      <c r="N365" s="384" t="str">
        <f t="shared" si="83"/>
        <v/>
      </c>
    </row>
    <row r="366" spans="2:14" s="110" customFormat="1" ht="15" x14ac:dyDescent="0.2">
      <c r="B366" s="371"/>
      <c r="C366" s="372"/>
      <c r="D366" s="373"/>
      <c r="E366" s="374"/>
      <c r="F366" s="374"/>
      <c r="G366" s="606"/>
      <c r="H366" s="375"/>
      <c r="I366" s="229" t="str">
        <f t="shared" si="79"/>
        <v/>
      </c>
      <c r="J366" s="230" t="str">
        <f t="shared" si="80"/>
        <v/>
      </c>
      <c r="K366" s="230" t="str">
        <f t="shared" si="81"/>
        <v/>
      </c>
      <c r="L366" s="231" t="str">
        <f t="shared" si="78"/>
        <v/>
      </c>
      <c r="M366" s="232" t="str">
        <f t="shared" si="82"/>
        <v/>
      </c>
      <c r="N366" s="384" t="str">
        <f t="shared" si="83"/>
        <v/>
      </c>
    </row>
    <row r="367" spans="2:14" s="110" customFormat="1" ht="15" x14ac:dyDescent="0.2">
      <c r="B367" s="371"/>
      <c r="C367" s="372"/>
      <c r="D367" s="373"/>
      <c r="E367" s="374"/>
      <c r="F367" s="374"/>
      <c r="G367" s="606"/>
      <c r="H367" s="375"/>
      <c r="I367" s="229" t="str">
        <f t="shared" si="79"/>
        <v/>
      </c>
      <c r="J367" s="230" t="str">
        <f t="shared" si="80"/>
        <v/>
      </c>
      <c r="K367" s="230" t="str">
        <f t="shared" si="81"/>
        <v/>
      </c>
      <c r="L367" s="231" t="str">
        <f t="shared" si="78"/>
        <v/>
      </c>
      <c r="M367" s="232" t="str">
        <f t="shared" si="82"/>
        <v/>
      </c>
      <c r="N367" s="384" t="str">
        <f t="shared" si="83"/>
        <v/>
      </c>
    </row>
    <row r="368" spans="2:14" s="110" customFormat="1" ht="15" x14ac:dyDescent="0.2">
      <c r="B368" s="371"/>
      <c r="C368" s="372"/>
      <c r="D368" s="373"/>
      <c r="E368" s="374"/>
      <c r="F368" s="374"/>
      <c r="G368" s="606"/>
      <c r="H368" s="375"/>
      <c r="I368" s="229" t="str">
        <f t="shared" si="79"/>
        <v/>
      </c>
      <c r="J368" s="230" t="str">
        <f t="shared" si="80"/>
        <v/>
      </c>
      <c r="K368" s="230" t="str">
        <f t="shared" si="81"/>
        <v/>
      </c>
      <c r="L368" s="231" t="str">
        <f t="shared" si="78"/>
        <v/>
      </c>
      <c r="M368" s="232" t="str">
        <f t="shared" si="82"/>
        <v/>
      </c>
      <c r="N368" s="384" t="str">
        <f t="shared" si="83"/>
        <v/>
      </c>
    </row>
    <row r="369" spans="2:14" s="110" customFormat="1" ht="15" x14ac:dyDescent="0.2">
      <c r="B369" s="371"/>
      <c r="C369" s="372"/>
      <c r="D369" s="373"/>
      <c r="E369" s="374"/>
      <c r="F369" s="374"/>
      <c r="G369" s="606"/>
      <c r="H369" s="375"/>
      <c r="I369" s="229" t="str">
        <f t="shared" si="79"/>
        <v/>
      </c>
      <c r="J369" s="230" t="str">
        <f t="shared" si="80"/>
        <v/>
      </c>
      <c r="K369" s="230" t="str">
        <f t="shared" si="81"/>
        <v/>
      </c>
      <c r="L369" s="231" t="str">
        <f t="shared" si="78"/>
        <v/>
      </c>
      <c r="M369" s="232" t="str">
        <f t="shared" si="82"/>
        <v/>
      </c>
      <c r="N369" s="384" t="str">
        <f t="shared" si="83"/>
        <v/>
      </c>
    </row>
    <row r="370" spans="2:14" s="110" customFormat="1" ht="15" x14ac:dyDescent="0.2">
      <c r="B370" s="371"/>
      <c r="C370" s="372"/>
      <c r="D370" s="373"/>
      <c r="E370" s="374"/>
      <c r="F370" s="374"/>
      <c r="G370" s="606"/>
      <c r="H370" s="375"/>
      <c r="I370" s="229" t="str">
        <f t="shared" si="79"/>
        <v/>
      </c>
      <c r="J370" s="230" t="str">
        <f t="shared" si="80"/>
        <v/>
      </c>
      <c r="K370" s="230" t="str">
        <f t="shared" si="81"/>
        <v/>
      </c>
      <c r="L370" s="231" t="str">
        <f t="shared" si="78"/>
        <v/>
      </c>
      <c r="M370" s="232" t="str">
        <f t="shared" si="82"/>
        <v/>
      </c>
      <c r="N370" s="384" t="str">
        <f t="shared" si="83"/>
        <v/>
      </c>
    </row>
    <row r="371" spans="2:14" s="110" customFormat="1" ht="15" x14ac:dyDescent="0.2">
      <c r="B371" s="371"/>
      <c r="C371" s="372"/>
      <c r="D371" s="373"/>
      <c r="E371" s="374"/>
      <c r="F371" s="374"/>
      <c r="G371" s="606"/>
      <c r="H371" s="375"/>
      <c r="I371" s="229" t="str">
        <f t="shared" si="79"/>
        <v/>
      </c>
      <c r="J371" s="230" t="str">
        <f t="shared" si="80"/>
        <v/>
      </c>
      <c r="K371" s="230" t="str">
        <f t="shared" si="81"/>
        <v/>
      </c>
      <c r="L371" s="231" t="str">
        <f t="shared" si="78"/>
        <v/>
      </c>
      <c r="M371" s="232" t="str">
        <f t="shared" si="82"/>
        <v/>
      </c>
      <c r="N371" s="384" t="str">
        <f t="shared" si="83"/>
        <v/>
      </c>
    </row>
    <row r="372" spans="2:14" s="110" customFormat="1" ht="15" x14ac:dyDescent="0.2">
      <c r="B372" s="371"/>
      <c r="C372" s="372"/>
      <c r="D372" s="373"/>
      <c r="E372" s="374"/>
      <c r="F372" s="374"/>
      <c r="G372" s="606"/>
      <c r="H372" s="375"/>
      <c r="I372" s="229" t="str">
        <f t="shared" si="79"/>
        <v/>
      </c>
      <c r="J372" s="230" t="str">
        <f t="shared" si="80"/>
        <v/>
      </c>
      <c r="K372" s="230" t="str">
        <f t="shared" si="81"/>
        <v/>
      </c>
      <c r="L372" s="231" t="str">
        <f t="shared" si="78"/>
        <v/>
      </c>
      <c r="M372" s="232" t="str">
        <f t="shared" si="82"/>
        <v/>
      </c>
      <c r="N372" s="384" t="str">
        <f t="shared" si="83"/>
        <v/>
      </c>
    </row>
    <row r="373" spans="2:14" s="110" customFormat="1" ht="15" x14ac:dyDescent="0.2">
      <c r="B373" s="371"/>
      <c r="C373" s="372"/>
      <c r="D373" s="373"/>
      <c r="E373" s="374"/>
      <c r="F373" s="374"/>
      <c r="G373" s="606"/>
      <c r="H373" s="375"/>
      <c r="I373" s="229" t="str">
        <f t="shared" si="79"/>
        <v/>
      </c>
      <c r="J373" s="230" t="str">
        <f t="shared" si="80"/>
        <v/>
      </c>
      <c r="K373" s="230" t="str">
        <f t="shared" si="81"/>
        <v/>
      </c>
      <c r="L373" s="231" t="str">
        <f t="shared" si="78"/>
        <v/>
      </c>
      <c r="M373" s="232" t="str">
        <f t="shared" si="82"/>
        <v/>
      </c>
      <c r="N373" s="384" t="str">
        <f t="shared" si="83"/>
        <v/>
      </c>
    </row>
    <row r="374" spans="2:14" s="110" customFormat="1" ht="15" x14ac:dyDescent="0.2">
      <c r="B374" s="371"/>
      <c r="C374" s="372"/>
      <c r="D374" s="373"/>
      <c r="E374" s="374"/>
      <c r="F374" s="374"/>
      <c r="G374" s="606"/>
      <c r="H374" s="375"/>
      <c r="I374" s="229" t="str">
        <f t="shared" si="79"/>
        <v/>
      </c>
      <c r="J374" s="230" t="str">
        <f t="shared" si="80"/>
        <v/>
      </c>
      <c r="K374" s="230" t="str">
        <f t="shared" si="81"/>
        <v/>
      </c>
      <c r="L374" s="231" t="str">
        <f t="shared" si="78"/>
        <v/>
      </c>
      <c r="M374" s="232" t="str">
        <f t="shared" si="82"/>
        <v/>
      </c>
      <c r="N374" s="384" t="str">
        <f t="shared" si="83"/>
        <v/>
      </c>
    </row>
    <row r="375" spans="2:14" s="110" customFormat="1" ht="15" x14ac:dyDescent="0.2">
      <c r="B375" s="371"/>
      <c r="C375" s="372"/>
      <c r="D375" s="373"/>
      <c r="E375" s="374"/>
      <c r="F375" s="374"/>
      <c r="G375" s="606"/>
      <c r="H375" s="375"/>
      <c r="I375" s="229" t="str">
        <f t="shared" si="79"/>
        <v/>
      </c>
      <c r="J375" s="230" t="str">
        <f t="shared" si="80"/>
        <v/>
      </c>
      <c r="K375" s="230" t="str">
        <f t="shared" si="81"/>
        <v/>
      </c>
      <c r="L375" s="231" t="str">
        <f t="shared" si="78"/>
        <v/>
      </c>
      <c r="M375" s="232" t="str">
        <f t="shared" si="82"/>
        <v/>
      </c>
      <c r="N375" s="384" t="str">
        <f t="shared" si="83"/>
        <v/>
      </c>
    </row>
    <row r="376" spans="2:14" s="110" customFormat="1" ht="15" x14ac:dyDescent="0.2">
      <c r="B376" s="371"/>
      <c r="C376" s="372"/>
      <c r="D376" s="373"/>
      <c r="E376" s="374"/>
      <c r="F376" s="374"/>
      <c r="G376" s="606"/>
      <c r="H376" s="375"/>
      <c r="I376" s="229" t="str">
        <f t="shared" si="79"/>
        <v/>
      </c>
      <c r="J376" s="230" t="str">
        <f t="shared" si="80"/>
        <v/>
      </c>
      <c r="K376" s="230" t="str">
        <f t="shared" si="81"/>
        <v/>
      </c>
      <c r="L376" s="231" t="str">
        <f t="shared" si="78"/>
        <v/>
      </c>
      <c r="M376" s="232" t="str">
        <f t="shared" si="82"/>
        <v/>
      </c>
      <c r="N376" s="384" t="str">
        <f t="shared" si="83"/>
        <v/>
      </c>
    </row>
    <row r="377" spans="2:14" s="110" customFormat="1" ht="15" x14ac:dyDescent="0.2">
      <c r="B377" s="371"/>
      <c r="C377" s="372"/>
      <c r="D377" s="373"/>
      <c r="E377" s="374"/>
      <c r="F377" s="374"/>
      <c r="G377" s="606"/>
      <c r="H377" s="375"/>
      <c r="I377" s="229" t="str">
        <f t="shared" si="79"/>
        <v/>
      </c>
      <c r="J377" s="230" t="str">
        <f t="shared" si="80"/>
        <v/>
      </c>
      <c r="K377" s="230" t="str">
        <f t="shared" si="81"/>
        <v/>
      </c>
      <c r="L377" s="231" t="str">
        <f t="shared" si="78"/>
        <v/>
      </c>
      <c r="M377" s="232" t="str">
        <f t="shared" si="82"/>
        <v/>
      </c>
      <c r="N377" s="384" t="str">
        <f t="shared" si="83"/>
        <v/>
      </c>
    </row>
    <row r="378" spans="2:14" s="110" customFormat="1" ht="15" x14ac:dyDescent="0.2">
      <c r="B378" s="371"/>
      <c r="C378" s="372"/>
      <c r="D378" s="373"/>
      <c r="E378" s="374"/>
      <c r="F378" s="374"/>
      <c r="G378" s="606"/>
      <c r="H378" s="375"/>
      <c r="I378" s="229" t="str">
        <f t="shared" si="79"/>
        <v/>
      </c>
      <c r="J378" s="230" t="str">
        <f t="shared" si="80"/>
        <v/>
      </c>
      <c r="K378" s="230" t="str">
        <f t="shared" si="81"/>
        <v/>
      </c>
      <c r="L378" s="231" t="str">
        <f t="shared" si="78"/>
        <v/>
      </c>
      <c r="M378" s="232" t="str">
        <f t="shared" si="82"/>
        <v/>
      </c>
      <c r="N378" s="384" t="str">
        <f t="shared" si="83"/>
        <v/>
      </c>
    </row>
    <row r="379" spans="2:14" s="110" customFormat="1" ht="15" x14ac:dyDescent="0.2">
      <c r="B379" s="371"/>
      <c r="C379" s="372"/>
      <c r="D379" s="373"/>
      <c r="E379" s="374"/>
      <c r="F379" s="374"/>
      <c r="G379" s="606"/>
      <c r="H379" s="375"/>
      <c r="I379" s="229" t="str">
        <f t="shared" si="79"/>
        <v/>
      </c>
      <c r="J379" s="230" t="str">
        <f t="shared" si="80"/>
        <v/>
      </c>
      <c r="K379" s="230" t="str">
        <f t="shared" si="81"/>
        <v/>
      </c>
      <c r="L379" s="231" t="str">
        <f t="shared" si="78"/>
        <v/>
      </c>
      <c r="M379" s="232" t="str">
        <f t="shared" si="82"/>
        <v/>
      </c>
      <c r="N379" s="384" t="str">
        <f t="shared" si="83"/>
        <v/>
      </c>
    </row>
    <row r="380" spans="2:14" s="110" customFormat="1" ht="15" x14ac:dyDescent="0.2">
      <c r="B380" s="371"/>
      <c r="C380" s="372"/>
      <c r="D380" s="373"/>
      <c r="E380" s="374"/>
      <c r="F380" s="374"/>
      <c r="G380" s="606"/>
      <c r="H380" s="375"/>
      <c r="I380" s="229" t="str">
        <f t="shared" si="79"/>
        <v/>
      </c>
      <c r="J380" s="230" t="str">
        <f t="shared" si="80"/>
        <v/>
      </c>
      <c r="K380" s="230" t="str">
        <f t="shared" si="81"/>
        <v/>
      </c>
      <c r="L380" s="231" t="str">
        <f t="shared" si="78"/>
        <v/>
      </c>
      <c r="M380" s="232" t="str">
        <f t="shared" si="82"/>
        <v/>
      </c>
      <c r="N380" s="384" t="str">
        <f t="shared" si="83"/>
        <v/>
      </c>
    </row>
    <row r="381" spans="2:14" s="110" customFormat="1" ht="15" x14ac:dyDescent="0.2">
      <c r="B381" s="371"/>
      <c r="C381" s="372"/>
      <c r="D381" s="373"/>
      <c r="E381" s="374"/>
      <c r="F381" s="374"/>
      <c r="G381" s="606"/>
      <c r="H381" s="375"/>
      <c r="I381" s="229" t="str">
        <f t="shared" si="79"/>
        <v/>
      </c>
      <c r="J381" s="230" t="str">
        <f t="shared" si="80"/>
        <v/>
      </c>
      <c r="K381" s="230" t="str">
        <f t="shared" si="81"/>
        <v/>
      </c>
      <c r="L381" s="231" t="str">
        <f t="shared" si="78"/>
        <v/>
      </c>
      <c r="M381" s="232" t="str">
        <f t="shared" si="82"/>
        <v/>
      </c>
      <c r="N381" s="384" t="str">
        <f t="shared" si="83"/>
        <v/>
      </c>
    </row>
    <row r="382" spans="2:14" s="110" customFormat="1" ht="15" x14ac:dyDescent="0.2">
      <c r="B382" s="371"/>
      <c r="C382" s="372"/>
      <c r="D382" s="373"/>
      <c r="E382" s="374"/>
      <c r="F382" s="374"/>
      <c r="G382" s="606"/>
      <c r="H382" s="375"/>
      <c r="I382" s="229" t="str">
        <f t="shared" si="79"/>
        <v/>
      </c>
      <c r="J382" s="230" t="str">
        <f t="shared" si="80"/>
        <v/>
      </c>
      <c r="K382" s="230" t="str">
        <f t="shared" si="81"/>
        <v/>
      </c>
      <c r="L382" s="231" t="str">
        <f t="shared" si="78"/>
        <v/>
      </c>
      <c r="M382" s="232" t="str">
        <f t="shared" si="82"/>
        <v/>
      </c>
      <c r="N382" s="384" t="str">
        <f t="shared" si="83"/>
        <v/>
      </c>
    </row>
    <row r="383" spans="2:14" s="110" customFormat="1" ht="15" x14ac:dyDescent="0.2">
      <c r="B383" s="371"/>
      <c r="C383" s="372"/>
      <c r="D383" s="373"/>
      <c r="E383" s="374"/>
      <c r="F383" s="374"/>
      <c r="G383" s="606"/>
      <c r="H383" s="375"/>
      <c r="I383" s="229" t="str">
        <f t="shared" si="79"/>
        <v/>
      </c>
      <c r="J383" s="230" t="str">
        <f t="shared" si="80"/>
        <v/>
      </c>
      <c r="K383" s="230" t="str">
        <f t="shared" si="81"/>
        <v/>
      </c>
      <c r="L383" s="231" t="str">
        <f t="shared" si="78"/>
        <v/>
      </c>
      <c r="M383" s="232" t="str">
        <f t="shared" si="82"/>
        <v/>
      </c>
      <c r="N383" s="384" t="str">
        <f t="shared" si="83"/>
        <v/>
      </c>
    </row>
    <row r="384" spans="2:14" s="110" customFormat="1" ht="15" x14ac:dyDescent="0.2">
      <c r="B384" s="371"/>
      <c r="C384" s="372"/>
      <c r="D384" s="373"/>
      <c r="E384" s="374"/>
      <c r="F384" s="374"/>
      <c r="G384" s="606"/>
      <c r="H384" s="375"/>
      <c r="I384" s="229" t="str">
        <f t="shared" si="79"/>
        <v/>
      </c>
      <c r="J384" s="230" t="str">
        <f t="shared" si="80"/>
        <v/>
      </c>
      <c r="K384" s="230" t="str">
        <f t="shared" si="81"/>
        <v/>
      </c>
      <c r="L384" s="231" t="str">
        <f t="shared" si="78"/>
        <v/>
      </c>
      <c r="M384" s="232" t="str">
        <f t="shared" si="82"/>
        <v/>
      </c>
      <c r="N384" s="384" t="str">
        <f t="shared" si="83"/>
        <v/>
      </c>
    </row>
    <row r="385" spans="2:14" s="110" customFormat="1" ht="15" x14ac:dyDescent="0.2">
      <c r="B385" s="371"/>
      <c r="C385" s="372"/>
      <c r="D385" s="373"/>
      <c r="E385" s="374"/>
      <c r="F385" s="374"/>
      <c r="G385" s="606"/>
      <c r="H385" s="375"/>
      <c r="I385" s="229" t="str">
        <f t="shared" si="79"/>
        <v/>
      </c>
      <c r="J385" s="230" t="str">
        <f t="shared" si="80"/>
        <v/>
      </c>
      <c r="K385" s="230" t="str">
        <f t="shared" si="81"/>
        <v/>
      </c>
      <c r="L385" s="231" t="str">
        <f t="shared" si="78"/>
        <v/>
      </c>
      <c r="M385" s="232" t="str">
        <f t="shared" si="82"/>
        <v/>
      </c>
      <c r="N385" s="384" t="str">
        <f t="shared" si="83"/>
        <v/>
      </c>
    </row>
    <row r="386" spans="2:14" s="110" customFormat="1" ht="15" x14ac:dyDescent="0.2">
      <c r="B386" s="371"/>
      <c r="C386" s="372"/>
      <c r="D386" s="373"/>
      <c r="E386" s="374"/>
      <c r="F386" s="374"/>
      <c r="G386" s="606"/>
      <c r="H386" s="375"/>
      <c r="I386" s="229" t="str">
        <f t="shared" si="79"/>
        <v/>
      </c>
      <c r="J386" s="230" t="str">
        <f t="shared" si="80"/>
        <v/>
      </c>
      <c r="K386" s="230" t="str">
        <f t="shared" si="81"/>
        <v/>
      </c>
      <c r="L386" s="231" t="str">
        <f t="shared" si="78"/>
        <v/>
      </c>
      <c r="M386" s="232" t="str">
        <f t="shared" si="82"/>
        <v/>
      </c>
      <c r="N386" s="384" t="str">
        <f t="shared" si="83"/>
        <v/>
      </c>
    </row>
    <row r="387" spans="2:14" s="110" customFormat="1" ht="15" x14ac:dyDescent="0.2">
      <c r="B387" s="371"/>
      <c r="C387" s="372"/>
      <c r="D387" s="373"/>
      <c r="E387" s="374"/>
      <c r="F387" s="374"/>
      <c r="G387" s="606"/>
      <c r="H387" s="375"/>
      <c r="I387" s="229" t="str">
        <f t="shared" si="79"/>
        <v/>
      </c>
      <c r="J387" s="230" t="str">
        <f t="shared" si="80"/>
        <v/>
      </c>
      <c r="K387" s="230" t="str">
        <f t="shared" si="81"/>
        <v/>
      </c>
      <c r="L387" s="231" t="str">
        <f t="shared" si="78"/>
        <v/>
      </c>
      <c r="M387" s="232" t="str">
        <f t="shared" si="82"/>
        <v/>
      </c>
      <c r="N387" s="384" t="str">
        <f t="shared" si="83"/>
        <v/>
      </c>
    </row>
    <row r="388" spans="2:14" s="110" customFormat="1" ht="15" x14ac:dyDescent="0.2">
      <c r="B388" s="371"/>
      <c r="C388" s="372"/>
      <c r="D388" s="373"/>
      <c r="E388" s="374"/>
      <c r="F388" s="374"/>
      <c r="G388" s="606"/>
      <c r="H388" s="375"/>
      <c r="I388" s="229" t="str">
        <f t="shared" si="79"/>
        <v/>
      </c>
      <c r="J388" s="230" t="str">
        <f t="shared" si="80"/>
        <v/>
      </c>
      <c r="K388" s="230" t="str">
        <f t="shared" si="81"/>
        <v/>
      </c>
      <c r="L388" s="231" t="str">
        <f t="shared" si="78"/>
        <v/>
      </c>
      <c r="M388" s="232" t="str">
        <f t="shared" si="82"/>
        <v/>
      </c>
      <c r="N388" s="384" t="str">
        <f t="shared" si="83"/>
        <v/>
      </c>
    </row>
    <row r="389" spans="2:14" s="110" customFormat="1" ht="15" x14ac:dyDescent="0.2">
      <c r="B389" s="234"/>
      <c r="C389" s="235"/>
      <c r="D389" s="236"/>
      <c r="E389" s="237"/>
      <c r="F389" s="237"/>
      <c r="G389" s="607"/>
      <c r="H389" s="238"/>
      <c r="I389" s="238"/>
      <c r="J389" s="239"/>
      <c r="K389" s="240"/>
      <c r="L389" s="240"/>
      <c r="M389" s="232" t="str">
        <f t="shared" ref="M389" si="84">IFERROR(ROUND(E389/G389,2),"")</f>
        <v/>
      </c>
      <c r="N389" s="384" t="str">
        <f t="shared" ref="N389" si="85">IFERROR(ROUND(F389/E389,4),"")</f>
        <v/>
      </c>
    </row>
    <row r="390" spans="2:14" s="110" customFormat="1" ht="15.75" thickBot="1" x14ac:dyDescent="0.25">
      <c r="B390" s="241"/>
      <c r="C390" s="242"/>
      <c r="D390" s="243" t="s">
        <v>38</v>
      </c>
      <c r="E390" s="244">
        <f>SUM(E359:E389)</f>
        <v>0</v>
      </c>
      <c r="F390" s="244">
        <f>SUM(F359:F389)</f>
        <v>0</v>
      </c>
      <c r="G390" s="608">
        <f>SUM(G359:G389)</f>
        <v>0</v>
      </c>
      <c r="H390" s="246"/>
      <c r="I390" s="245">
        <f>SUM(I359:I389)</f>
        <v>0</v>
      </c>
      <c r="J390" s="244">
        <f>SUM(J359:J389)</f>
        <v>0</v>
      </c>
      <c r="K390" s="244">
        <f>SUM(K359:K389)</f>
        <v>0</v>
      </c>
      <c r="L390" s="244">
        <f>SUM(L359:L389)</f>
        <v>0</v>
      </c>
      <c r="M390" s="247" t="str">
        <f>IFERROR(ROUND(E390/G390,2),"")</f>
        <v/>
      </c>
      <c r="N390" s="385" t="str">
        <f>IFERROR(ROUND(F390/E390,4),"")</f>
        <v/>
      </c>
    </row>
    <row r="391" spans="2:14" ht="15" x14ac:dyDescent="0.2">
      <c r="B391" s="214"/>
      <c r="C391" s="214"/>
      <c r="D391" s="214"/>
      <c r="E391" s="214"/>
      <c r="F391" s="214"/>
      <c r="G391" s="214"/>
      <c r="H391" s="277"/>
      <c r="I391" s="277"/>
      <c r="J391" s="214"/>
      <c r="K391" s="269"/>
      <c r="L391" s="214"/>
      <c r="M391" s="215"/>
      <c r="N391" s="214"/>
    </row>
  </sheetData>
  <sheetProtection algorithmName="SHA-512" hashValue="DuEF7oQzwzjCro1pjbWOqDLJrniBSVyULT6IQ7BDDZnKZmoT4moi8rRYG7pqbE+C4xV1dMzDbmCkCsAynR1Qnw==" saltValue="wfBqYZLjZls+CN+uUfsoUw==" spinCount="100000" sheet="1" objects="1" scenarios="1"/>
  <mergeCells count="16">
    <mergeCell ref="B313:N313"/>
    <mergeCell ref="B352:N352"/>
    <mergeCell ref="B79:N79"/>
    <mergeCell ref="B196:N196"/>
    <mergeCell ref="B235:N235"/>
    <mergeCell ref="B275:N275"/>
    <mergeCell ref="B118:N118"/>
    <mergeCell ref="B157:N157"/>
    <mergeCell ref="D45:K45"/>
    <mergeCell ref="D13:K13"/>
    <mergeCell ref="B1:N1"/>
    <mergeCell ref="B2:N2"/>
    <mergeCell ref="B41:N41"/>
    <mergeCell ref="B3:N3"/>
    <mergeCell ref="B5:N5"/>
    <mergeCell ref="B4:N4"/>
  </mergeCells>
  <pageMargins left="0.7" right="0.7" top="0.75" bottom="0.75" header="0.3" footer="0.3"/>
  <pageSetup paperSize="5" scale="65" fitToHeight="0" orientation="landscape" r:id="rId1"/>
  <headerFooter>
    <oddFooter>&amp;L&amp;A
&amp;D</oddFooter>
  </headerFooter>
  <rowBreaks count="9" manualBreakCount="9">
    <brk id="39" max="13" man="1"/>
    <brk id="78" max="13" man="1"/>
    <brk id="117" max="13" man="1"/>
    <brk id="156" max="13" man="1"/>
    <brk id="195" max="13" man="1"/>
    <brk id="234" max="13" man="1"/>
    <brk id="273" max="13" man="1"/>
    <brk id="312" max="13" man="1"/>
    <brk id="351" max="1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69888EE-C26A-4C8C-AE57-40F35D9CE281}">
          <x14:formula1>
            <xm:f>'Crosswalk '!$D$127:$D$136</xm:f>
          </x14:formula1>
          <xm:sqref>B81 B11 B43 B159 B120 B198 B237 B277 B315 B354</xm:sqref>
        </x14:dataValidation>
        <x14:dataValidation type="list" allowBlank="1" showInputMessage="1" showErrorMessage="1" xr:uid="{48892CA4-80EC-4E74-A6E4-7FCBBD938195}">
          <x14:formula1>
            <xm:f>'Crosswalk '!$B$128:$B$130</xm:f>
          </x14:formula1>
          <xm:sqref>C86:C114 C164:C192 C49:C75 C202:C231 C242:C271 C282:C309 C320:C348 C125:C153 C17:C37 C359:C388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S43"/>
  <sheetViews>
    <sheetView zoomScaleNormal="100" workbookViewId="0">
      <pane xSplit="1" ySplit="10" topLeftCell="B11" activePane="bottomRight" state="frozen"/>
      <selection activeCell="B6" sqref="B6"/>
      <selection pane="topRight" activeCell="B6" sqref="B6"/>
      <selection pane="bottomLeft" activeCell="B6" sqref="B6"/>
      <selection pane="bottomRight" activeCell="B11" sqref="B11"/>
    </sheetView>
  </sheetViews>
  <sheetFormatPr defaultColWidth="11.28515625" defaultRowHeight="12.75" x14ac:dyDescent="0.2"/>
  <cols>
    <col min="1" max="1" width="3.7109375" style="108" customWidth="1"/>
    <col min="2" max="2" width="41.5703125" style="108" customWidth="1"/>
    <col min="3" max="3" width="42.140625" style="108" bestFit="1" customWidth="1"/>
    <col min="4" max="4" width="25" style="108" customWidth="1"/>
    <col min="5" max="5" width="15.28515625" style="108" customWidth="1"/>
    <col min="6" max="7" width="14.28515625" style="108" customWidth="1"/>
    <col min="8" max="8" width="14.42578125" style="108" customWidth="1"/>
    <col min="9" max="10" width="13.7109375" style="111" customWidth="1"/>
    <col min="11" max="11" width="13.7109375" style="108" customWidth="1"/>
    <col min="12" max="12" width="13.7109375" style="109" customWidth="1"/>
    <col min="13" max="13" width="13.7109375" style="108" customWidth="1"/>
    <col min="14" max="14" width="12.5703125" style="158" customWidth="1"/>
    <col min="15" max="15" width="12.85546875" style="108" bestFit="1" customWidth="1"/>
    <col min="16" max="16384" width="11.28515625" style="108"/>
  </cols>
  <sheetData>
    <row r="1" spans="2:19" s="278" customFormat="1" ht="27.75" customHeight="1" x14ac:dyDescent="0.25">
      <c r="B1" s="640" t="s">
        <v>66</v>
      </c>
      <c r="C1" s="641"/>
      <c r="D1" s="641"/>
      <c r="E1" s="641"/>
      <c r="F1" s="641"/>
      <c r="G1" s="641"/>
      <c r="H1" s="641"/>
      <c r="I1" s="641"/>
      <c r="J1" s="641"/>
      <c r="K1" s="641"/>
      <c r="L1" s="641"/>
      <c r="M1" s="641"/>
      <c r="N1" s="641"/>
      <c r="O1" s="641"/>
      <c r="P1" s="279"/>
      <c r="Q1" s="279"/>
      <c r="R1" s="279"/>
      <c r="S1" s="279"/>
    </row>
    <row r="2" spans="2:19" s="278" customFormat="1" ht="18" x14ac:dyDescent="0.25">
      <c r="B2" s="642" t="s">
        <v>233</v>
      </c>
      <c r="C2" s="643"/>
      <c r="D2" s="643"/>
      <c r="E2" s="643"/>
      <c r="F2" s="643"/>
      <c r="G2" s="643"/>
      <c r="H2" s="643"/>
      <c r="I2" s="643"/>
      <c r="J2" s="643"/>
      <c r="K2" s="643"/>
      <c r="L2" s="643"/>
      <c r="M2" s="643"/>
      <c r="N2" s="643"/>
      <c r="O2" s="643"/>
    </row>
    <row r="3" spans="2:19" s="278" customFormat="1" ht="18" x14ac:dyDescent="0.25">
      <c r="B3" s="647">
        <f>+'General Information'!B10</f>
        <v>0</v>
      </c>
      <c r="C3" s="648"/>
      <c r="D3" s="648"/>
      <c r="E3" s="648"/>
      <c r="F3" s="648"/>
      <c r="G3" s="648"/>
      <c r="H3" s="648"/>
      <c r="I3" s="648"/>
      <c r="J3" s="648"/>
      <c r="K3" s="648"/>
      <c r="L3" s="648"/>
      <c r="M3" s="648"/>
      <c r="N3" s="648"/>
      <c r="O3" s="648"/>
    </row>
    <row r="4" spans="2:19" s="278" customFormat="1" ht="18" x14ac:dyDescent="0.25">
      <c r="B4" s="647" t="s">
        <v>181</v>
      </c>
      <c r="C4" s="648"/>
      <c r="D4" s="648"/>
      <c r="E4" s="648"/>
      <c r="F4" s="648"/>
      <c r="G4" s="648"/>
      <c r="H4" s="648"/>
      <c r="I4" s="648"/>
      <c r="J4" s="648"/>
      <c r="K4" s="648"/>
      <c r="L4" s="648"/>
      <c r="M4" s="648"/>
      <c r="N4" s="648"/>
      <c r="O4" s="648"/>
    </row>
    <row r="5" spans="2:19" x14ac:dyDescent="0.2">
      <c r="B5" s="649">
        <f>+'General Information'!B6</f>
        <v>0</v>
      </c>
      <c r="C5" s="650"/>
      <c r="D5" s="650"/>
      <c r="E5" s="650"/>
      <c r="F5" s="650"/>
      <c r="G5" s="650"/>
      <c r="H5" s="650"/>
      <c r="I5" s="650"/>
      <c r="J5" s="650"/>
      <c r="K5" s="650"/>
      <c r="L5" s="650"/>
      <c r="M5" s="650"/>
      <c r="N5" s="650"/>
      <c r="O5" s="650"/>
    </row>
    <row r="6" spans="2:19" x14ac:dyDescent="0.2">
      <c r="B6" s="491"/>
      <c r="C6" s="288"/>
      <c r="D6" s="288"/>
      <c r="E6" s="288"/>
      <c r="F6" s="288"/>
      <c r="G6" s="288"/>
      <c r="H6" s="288"/>
      <c r="I6" s="288"/>
      <c r="J6" s="288"/>
      <c r="K6" s="288"/>
      <c r="L6" s="288"/>
      <c r="M6" s="288"/>
      <c r="N6" s="288"/>
      <c r="O6" s="288"/>
    </row>
    <row r="7" spans="2:19" ht="15.75" thickBot="1" x14ac:dyDescent="0.25">
      <c r="B7" s="256"/>
      <c r="C7" s="256"/>
      <c r="D7" s="256"/>
      <c r="E7" s="639"/>
      <c r="F7" s="639"/>
      <c r="G7" s="639"/>
      <c r="H7" s="639"/>
      <c r="I7" s="639"/>
      <c r="J7" s="639"/>
      <c r="K7" s="639"/>
      <c r="L7" s="639"/>
      <c r="M7" s="256"/>
      <c r="N7" s="261"/>
      <c r="O7" s="256"/>
    </row>
    <row r="8" spans="2:19" ht="15" x14ac:dyDescent="0.2">
      <c r="B8" s="381" t="s">
        <v>144</v>
      </c>
      <c r="C8" s="216" t="s">
        <v>145</v>
      </c>
      <c r="D8" s="216" t="s">
        <v>146</v>
      </c>
      <c r="E8" s="216" t="s">
        <v>147</v>
      </c>
      <c r="F8" s="217" t="s">
        <v>148</v>
      </c>
      <c r="G8" s="216" t="s">
        <v>157</v>
      </c>
      <c r="H8" s="217" t="s">
        <v>149</v>
      </c>
      <c r="I8" s="216" t="s">
        <v>150</v>
      </c>
      <c r="J8" s="218" t="s">
        <v>151</v>
      </c>
      <c r="K8" s="218" t="s">
        <v>158</v>
      </c>
      <c r="L8" s="218" t="s">
        <v>168</v>
      </c>
      <c r="M8" s="218" t="s">
        <v>219</v>
      </c>
      <c r="N8" s="219" t="s">
        <v>220</v>
      </c>
      <c r="O8" s="382" t="s">
        <v>221</v>
      </c>
    </row>
    <row r="9" spans="2:19" ht="90" x14ac:dyDescent="0.2">
      <c r="B9" s="220" t="s">
        <v>152</v>
      </c>
      <c r="C9" s="221" t="s">
        <v>264</v>
      </c>
      <c r="D9" s="221" t="s">
        <v>205</v>
      </c>
      <c r="E9" s="222" t="s">
        <v>164</v>
      </c>
      <c r="F9" s="600" t="s">
        <v>161</v>
      </c>
      <c r="G9" s="601" t="s">
        <v>154</v>
      </c>
      <c r="H9" s="222" t="s">
        <v>262</v>
      </c>
      <c r="I9" s="223" t="s">
        <v>248</v>
      </c>
      <c r="J9" s="222" t="s">
        <v>249</v>
      </c>
      <c r="K9" s="222" t="s">
        <v>153</v>
      </c>
      <c r="L9" s="222" t="s">
        <v>156</v>
      </c>
      <c r="M9" s="222" t="s">
        <v>159</v>
      </c>
      <c r="N9" s="224" t="s">
        <v>167</v>
      </c>
      <c r="O9" s="383" t="s">
        <v>166</v>
      </c>
    </row>
    <row r="10" spans="2:19" ht="15.75" x14ac:dyDescent="0.25">
      <c r="B10" s="463"/>
      <c r="C10" s="464" t="s">
        <v>162</v>
      </c>
      <c r="D10" s="464"/>
      <c r="E10" s="465" t="s">
        <v>165</v>
      </c>
      <c r="F10" s="466"/>
      <c r="G10" s="467"/>
      <c r="H10" s="465"/>
      <c r="I10" s="468"/>
      <c r="J10" s="468"/>
      <c r="K10" s="465"/>
      <c r="L10" s="465"/>
      <c r="M10" s="465"/>
      <c r="N10" s="469"/>
      <c r="O10" s="518"/>
    </row>
    <row r="11" spans="2:19" s="110" customFormat="1" ht="15" x14ac:dyDescent="0.2">
      <c r="B11" s="371"/>
      <c r="C11" s="372"/>
      <c r="D11" s="372"/>
      <c r="E11" s="373"/>
      <c r="F11" s="374"/>
      <c r="G11" s="374"/>
      <c r="H11" s="376"/>
      <c r="I11" s="375"/>
      <c r="J11" s="229" t="str">
        <f>IF(ISBLANK(H11),"",(ROUND(H11*I11,2)))</f>
        <v/>
      </c>
      <c r="K11" s="230" t="str">
        <f>IF(ISBLANK(F11),"",(ROUND(F11*I11,0)))</f>
        <v/>
      </c>
      <c r="L11" s="230" t="str">
        <f>IF(ISBLANK(G11),"",(ROUND(G11*I11,0)))</f>
        <v/>
      </c>
      <c r="M11" s="231" t="str">
        <f>IFERROR(IF(C11="contract labor",K11,(ROUND(K11+L11,0))),"")</f>
        <v/>
      </c>
      <c r="N11" s="232" t="str">
        <f>IFERROR(ROUND(F11/H11,2),"")</f>
        <v/>
      </c>
      <c r="O11" s="384" t="str">
        <f>IFERROR(ROUND(G11/F11,4),"")</f>
        <v/>
      </c>
    </row>
    <row r="12" spans="2:19" s="110" customFormat="1" ht="15" x14ac:dyDescent="0.2">
      <c r="B12" s="371"/>
      <c r="C12" s="372"/>
      <c r="D12" s="372"/>
      <c r="E12" s="373"/>
      <c r="F12" s="374"/>
      <c r="G12" s="374"/>
      <c r="H12" s="373"/>
      <c r="I12" s="375"/>
      <c r="J12" s="229" t="str">
        <f t="shared" ref="J12:J41" si="0">IF(ISBLANK(H12),"",(ROUND(H12*I12,2)))</f>
        <v/>
      </c>
      <c r="K12" s="230" t="str">
        <f t="shared" ref="K12:K41" si="1">IF(ISBLANK(F12),"",(ROUND(F12*I12,0)))</f>
        <v/>
      </c>
      <c r="L12" s="230" t="str">
        <f t="shared" ref="L12:L41" si="2">IF(ISBLANK(G12),"",(ROUND(G12*I12,0)))</f>
        <v/>
      </c>
      <c r="M12" s="231" t="str">
        <f t="shared" ref="M12:M40" si="3">IFERROR(IF(C12="contract labor",K12,(ROUND(K12+L12,0))),"")</f>
        <v/>
      </c>
      <c r="N12" s="232" t="str">
        <f t="shared" ref="N12:N41" si="4">IFERROR(ROUND(F12/H12,2),"")</f>
        <v/>
      </c>
      <c r="O12" s="384" t="str">
        <f t="shared" ref="O12:O41" si="5">IFERROR(ROUND(G12/F12,4),"")</f>
        <v/>
      </c>
    </row>
    <row r="13" spans="2:19" s="110" customFormat="1" ht="15" x14ac:dyDescent="0.2">
      <c r="B13" s="371"/>
      <c r="C13" s="372"/>
      <c r="D13" s="372"/>
      <c r="E13" s="373"/>
      <c r="F13" s="374"/>
      <c r="G13" s="374"/>
      <c r="H13" s="373"/>
      <c r="I13" s="375"/>
      <c r="J13" s="229" t="str">
        <f t="shared" si="0"/>
        <v/>
      </c>
      <c r="K13" s="230" t="str">
        <f t="shared" si="1"/>
        <v/>
      </c>
      <c r="L13" s="230" t="str">
        <f t="shared" si="2"/>
        <v/>
      </c>
      <c r="M13" s="231" t="str">
        <f t="shared" si="3"/>
        <v/>
      </c>
      <c r="N13" s="232" t="str">
        <f t="shared" si="4"/>
        <v/>
      </c>
      <c r="O13" s="384" t="str">
        <f t="shared" si="5"/>
        <v/>
      </c>
    </row>
    <row r="14" spans="2:19" s="110" customFormat="1" ht="15" x14ac:dyDescent="0.2">
      <c r="B14" s="371"/>
      <c r="C14" s="372"/>
      <c r="D14" s="372"/>
      <c r="E14" s="373"/>
      <c r="F14" s="374"/>
      <c r="G14" s="374"/>
      <c r="H14" s="373"/>
      <c r="I14" s="375"/>
      <c r="J14" s="229" t="str">
        <f t="shared" si="0"/>
        <v/>
      </c>
      <c r="K14" s="230" t="str">
        <f t="shared" si="1"/>
        <v/>
      </c>
      <c r="L14" s="230" t="str">
        <f t="shared" si="2"/>
        <v/>
      </c>
      <c r="M14" s="231" t="str">
        <f t="shared" si="3"/>
        <v/>
      </c>
      <c r="N14" s="232" t="str">
        <f t="shared" si="4"/>
        <v/>
      </c>
      <c r="O14" s="384" t="str">
        <f t="shared" si="5"/>
        <v/>
      </c>
    </row>
    <row r="15" spans="2:19" s="110" customFormat="1" ht="15" x14ac:dyDescent="0.2">
      <c r="B15" s="371"/>
      <c r="C15" s="372"/>
      <c r="D15" s="372"/>
      <c r="E15" s="373"/>
      <c r="F15" s="374"/>
      <c r="G15" s="374"/>
      <c r="H15" s="373"/>
      <c r="I15" s="375"/>
      <c r="J15" s="229" t="str">
        <f t="shared" si="0"/>
        <v/>
      </c>
      <c r="K15" s="230" t="str">
        <f t="shared" si="1"/>
        <v/>
      </c>
      <c r="L15" s="230" t="str">
        <f t="shared" si="2"/>
        <v/>
      </c>
      <c r="M15" s="231" t="str">
        <f t="shared" si="3"/>
        <v/>
      </c>
      <c r="N15" s="232" t="str">
        <f t="shared" si="4"/>
        <v/>
      </c>
      <c r="O15" s="384" t="str">
        <f t="shared" si="5"/>
        <v/>
      </c>
    </row>
    <row r="16" spans="2:19" s="110" customFormat="1" ht="15" x14ac:dyDescent="0.2">
      <c r="B16" s="371"/>
      <c r="C16" s="372"/>
      <c r="D16" s="372"/>
      <c r="E16" s="373"/>
      <c r="F16" s="374"/>
      <c r="G16" s="374"/>
      <c r="H16" s="373"/>
      <c r="I16" s="375"/>
      <c r="J16" s="229" t="str">
        <f t="shared" si="0"/>
        <v/>
      </c>
      <c r="K16" s="230" t="str">
        <f t="shared" si="1"/>
        <v/>
      </c>
      <c r="L16" s="230" t="str">
        <f t="shared" si="2"/>
        <v/>
      </c>
      <c r="M16" s="231" t="str">
        <f t="shared" si="3"/>
        <v/>
      </c>
      <c r="N16" s="232" t="str">
        <f t="shared" si="4"/>
        <v/>
      </c>
      <c r="O16" s="384" t="str">
        <f t="shared" si="5"/>
        <v/>
      </c>
    </row>
    <row r="17" spans="2:17" s="110" customFormat="1" ht="15" x14ac:dyDescent="0.2">
      <c r="B17" s="371"/>
      <c r="C17" s="372"/>
      <c r="D17" s="372"/>
      <c r="E17" s="373"/>
      <c r="F17" s="374"/>
      <c r="G17" s="374"/>
      <c r="H17" s="373"/>
      <c r="I17" s="375"/>
      <c r="J17" s="229" t="str">
        <f t="shared" si="0"/>
        <v/>
      </c>
      <c r="K17" s="230" t="str">
        <f t="shared" si="1"/>
        <v/>
      </c>
      <c r="L17" s="230" t="str">
        <f t="shared" si="2"/>
        <v/>
      </c>
      <c r="M17" s="231" t="str">
        <f t="shared" si="3"/>
        <v/>
      </c>
      <c r="N17" s="232" t="str">
        <f t="shared" si="4"/>
        <v/>
      </c>
      <c r="O17" s="384" t="str">
        <f t="shared" si="5"/>
        <v/>
      </c>
    </row>
    <row r="18" spans="2:17" s="110" customFormat="1" ht="15" x14ac:dyDescent="0.2">
      <c r="B18" s="371"/>
      <c r="C18" s="372"/>
      <c r="D18" s="372"/>
      <c r="E18" s="373"/>
      <c r="F18" s="374"/>
      <c r="G18" s="374"/>
      <c r="H18" s="373"/>
      <c r="I18" s="375"/>
      <c r="J18" s="229" t="str">
        <f t="shared" si="0"/>
        <v/>
      </c>
      <c r="K18" s="230" t="str">
        <f t="shared" si="1"/>
        <v/>
      </c>
      <c r="L18" s="230" t="str">
        <f t="shared" si="2"/>
        <v/>
      </c>
      <c r="M18" s="231" t="str">
        <f t="shared" si="3"/>
        <v/>
      </c>
      <c r="N18" s="232" t="str">
        <f t="shared" si="4"/>
        <v/>
      </c>
      <c r="O18" s="384" t="str">
        <f t="shared" si="5"/>
        <v/>
      </c>
      <c r="Q18" s="110">
        <f>100-33</f>
        <v>67</v>
      </c>
    </row>
    <row r="19" spans="2:17" s="110" customFormat="1" ht="15" x14ac:dyDescent="0.2">
      <c r="B19" s="371"/>
      <c r="C19" s="372"/>
      <c r="D19" s="372"/>
      <c r="E19" s="373"/>
      <c r="F19" s="374"/>
      <c r="G19" s="374"/>
      <c r="H19" s="373"/>
      <c r="I19" s="375"/>
      <c r="J19" s="229" t="str">
        <f t="shared" si="0"/>
        <v/>
      </c>
      <c r="K19" s="230" t="str">
        <f t="shared" si="1"/>
        <v/>
      </c>
      <c r="L19" s="230" t="str">
        <f t="shared" si="2"/>
        <v/>
      </c>
      <c r="M19" s="231" t="str">
        <f t="shared" si="3"/>
        <v/>
      </c>
      <c r="N19" s="232" t="str">
        <f t="shared" si="4"/>
        <v/>
      </c>
      <c r="O19" s="384" t="str">
        <f t="shared" si="5"/>
        <v/>
      </c>
    </row>
    <row r="20" spans="2:17" s="110" customFormat="1" ht="15" x14ac:dyDescent="0.2">
      <c r="B20" s="371"/>
      <c r="C20" s="372"/>
      <c r="D20" s="372"/>
      <c r="E20" s="373"/>
      <c r="F20" s="374"/>
      <c r="G20" s="374"/>
      <c r="H20" s="373"/>
      <c r="I20" s="375"/>
      <c r="J20" s="229" t="str">
        <f t="shared" si="0"/>
        <v/>
      </c>
      <c r="K20" s="230" t="str">
        <f t="shared" si="1"/>
        <v/>
      </c>
      <c r="L20" s="230" t="str">
        <f t="shared" si="2"/>
        <v/>
      </c>
      <c r="M20" s="231" t="str">
        <f t="shared" si="3"/>
        <v/>
      </c>
      <c r="N20" s="232" t="str">
        <f t="shared" si="4"/>
        <v/>
      </c>
      <c r="O20" s="384" t="str">
        <f t="shared" si="5"/>
        <v/>
      </c>
    </row>
    <row r="21" spans="2:17" s="110" customFormat="1" ht="15" x14ac:dyDescent="0.2">
      <c r="B21" s="371"/>
      <c r="C21" s="372"/>
      <c r="D21" s="372"/>
      <c r="E21" s="373"/>
      <c r="F21" s="374"/>
      <c r="G21" s="374"/>
      <c r="H21" s="373"/>
      <c r="I21" s="375"/>
      <c r="J21" s="229" t="str">
        <f t="shared" si="0"/>
        <v/>
      </c>
      <c r="K21" s="230" t="str">
        <f t="shared" si="1"/>
        <v/>
      </c>
      <c r="L21" s="230" t="str">
        <f t="shared" si="2"/>
        <v/>
      </c>
      <c r="M21" s="231" t="str">
        <f t="shared" si="3"/>
        <v/>
      </c>
      <c r="N21" s="232" t="str">
        <f t="shared" si="4"/>
        <v/>
      </c>
      <c r="O21" s="384" t="str">
        <f t="shared" si="5"/>
        <v/>
      </c>
    </row>
    <row r="22" spans="2:17" s="110" customFormat="1" ht="15" x14ac:dyDescent="0.2">
      <c r="B22" s="371"/>
      <c r="C22" s="372"/>
      <c r="D22" s="372"/>
      <c r="E22" s="373"/>
      <c r="F22" s="374"/>
      <c r="G22" s="374"/>
      <c r="H22" s="373"/>
      <c r="I22" s="375"/>
      <c r="J22" s="229" t="str">
        <f t="shared" si="0"/>
        <v/>
      </c>
      <c r="K22" s="230" t="str">
        <f t="shared" si="1"/>
        <v/>
      </c>
      <c r="L22" s="230" t="str">
        <f t="shared" si="2"/>
        <v/>
      </c>
      <c r="M22" s="231" t="str">
        <f t="shared" si="3"/>
        <v/>
      </c>
      <c r="N22" s="232" t="str">
        <f t="shared" si="4"/>
        <v/>
      </c>
      <c r="O22" s="384" t="str">
        <f t="shared" si="5"/>
        <v/>
      </c>
    </row>
    <row r="23" spans="2:17" s="110" customFormat="1" ht="15" x14ac:dyDescent="0.2">
      <c r="B23" s="371"/>
      <c r="C23" s="372"/>
      <c r="D23" s="372"/>
      <c r="E23" s="373"/>
      <c r="F23" s="374"/>
      <c r="G23" s="374"/>
      <c r="H23" s="373"/>
      <c r="I23" s="375"/>
      <c r="J23" s="229" t="str">
        <f t="shared" si="0"/>
        <v/>
      </c>
      <c r="K23" s="230" t="str">
        <f t="shared" si="1"/>
        <v/>
      </c>
      <c r="L23" s="230" t="str">
        <f t="shared" si="2"/>
        <v/>
      </c>
      <c r="M23" s="231" t="str">
        <f t="shared" si="3"/>
        <v/>
      </c>
      <c r="N23" s="232" t="str">
        <f t="shared" si="4"/>
        <v/>
      </c>
      <c r="O23" s="384" t="str">
        <f t="shared" si="5"/>
        <v/>
      </c>
    </row>
    <row r="24" spans="2:17" s="110" customFormat="1" ht="15" x14ac:dyDescent="0.2">
      <c r="B24" s="371"/>
      <c r="C24" s="372"/>
      <c r="D24" s="372"/>
      <c r="E24" s="373"/>
      <c r="F24" s="374"/>
      <c r="G24" s="374"/>
      <c r="H24" s="373"/>
      <c r="I24" s="375"/>
      <c r="J24" s="229" t="str">
        <f t="shared" si="0"/>
        <v/>
      </c>
      <c r="K24" s="230" t="str">
        <f t="shared" si="1"/>
        <v/>
      </c>
      <c r="L24" s="230" t="str">
        <f t="shared" si="2"/>
        <v/>
      </c>
      <c r="M24" s="231" t="str">
        <f t="shared" si="3"/>
        <v/>
      </c>
      <c r="N24" s="232" t="str">
        <f t="shared" si="4"/>
        <v/>
      </c>
      <c r="O24" s="384" t="str">
        <f t="shared" si="5"/>
        <v/>
      </c>
    </row>
    <row r="25" spans="2:17" s="110" customFormat="1" ht="15" x14ac:dyDescent="0.2">
      <c r="B25" s="371"/>
      <c r="C25" s="372"/>
      <c r="D25" s="372"/>
      <c r="E25" s="373"/>
      <c r="F25" s="374"/>
      <c r="G25" s="374"/>
      <c r="H25" s="373"/>
      <c r="I25" s="375"/>
      <c r="J25" s="229" t="str">
        <f t="shared" si="0"/>
        <v/>
      </c>
      <c r="K25" s="230" t="str">
        <f t="shared" si="1"/>
        <v/>
      </c>
      <c r="L25" s="230" t="str">
        <f t="shared" si="2"/>
        <v/>
      </c>
      <c r="M25" s="231" t="str">
        <f t="shared" si="3"/>
        <v/>
      </c>
      <c r="N25" s="232" t="str">
        <f t="shared" si="4"/>
        <v/>
      </c>
      <c r="O25" s="384" t="str">
        <f t="shared" si="5"/>
        <v/>
      </c>
    </row>
    <row r="26" spans="2:17" s="110" customFormat="1" ht="15" x14ac:dyDescent="0.2">
      <c r="B26" s="371"/>
      <c r="C26" s="372"/>
      <c r="D26" s="372"/>
      <c r="E26" s="373"/>
      <c r="F26" s="374"/>
      <c r="G26" s="374"/>
      <c r="H26" s="373"/>
      <c r="I26" s="375"/>
      <c r="J26" s="229" t="str">
        <f t="shared" si="0"/>
        <v/>
      </c>
      <c r="K26" s="230" t="str">
        <f t="shared" si="1"/>
        <v/>
      </c>
      <c r="L26" s="230" t="str">
        <f t="shared" si="2"/>
        <v/>
      </c>
      <c r="M26" s="231" t="str">
        <f t="shared" si="3"/>
        <v/>
      </c>
      <c r="N26" s="232" t="str">
        <f t="shared" si="4"/>
        <v/>
      </c>
      <c r="O26" s="384" t="str">
        <f t="shared" si="5"/>
        <v/>
      </c>
    </row>
    <row r="27" spans="2:17" s="110" customFormat="1" ht="15" x14ac:dyDescent="0.2">
      <c r="B27" s="371"/>
      <c r="C27" s="372"/>
      <c r="D27" s="372"/>
      <c r="E27" s="373"/>
      <c r="F27" s="374"/>
      <c r="G27" s="374"/>
      <c r="H27" s="373"/>
      <c r="I27" s="375"/>
      <c r="J27" s="229" t="str">
        <f t="shared" si="0"/>
        <v/>
      </c>
      <c r="K27" s="230" t="str">
        <f t="shared" si="1"/>
        <v/>
      </c>
      <c r="L27" s="230" t="str">
        <f t="shared" si="2"/>
        <v/>
      </c>
      <c r="M27" s="231" t="str">
        <f t="shared" si="3"/>
        <v/>
      </c>
      <c r="N27" s="232" t="str">
        <f t="shared" si="4"/>
        <v/>
      </c>
      <c r="O27" s="384" t="str">
        <f t="shared" si="5"/>
        <v/>
      </c>
    </row>
    <row r="28" spans="2:17" s="110" customFormat="1" ht="15" x14ac:dyDescent="0.2">
      <c r="B28" s="371"/>
      <c r="C28" s="372"/>
      <c r="D28" s="372"/>
      <c r="E28" s="373"/>
      <c r="F28" s="374"/>
      <c r="G28" s="374"/>
      <c r="H28" s="373"/>
      <c r="I28" s="375"/>
      <c r="J28" s="229" t="str">
        <f t="shared" si="0"/>
        <v/>
      </c>
      <c r="K28" s="230" t="str">
        <f t="shared" si="1"/>
        <v/>
      </c>
      <c r="L28" s="230" t="str">
        <f t="shared" si="2"/>
        <v/>
      </c>
      <c r="M28" s="231" t="str">
        <f t="shared" si="3"/>
        <v/>
      </c>
      <c r="N28" s="232" t="str">
        <f t="shared" si="4"/>
        <v/>
      </c>
      <c r="O28" s="384" t="str">
        <f t="shared" si="5"/>
        <v/>
      </c>
    </row>
    <row r="29" spans="2:17" s="110" customFormat="1" ht="15" x14ac:dyDescent="0.2">
      <c r="B29" s="371"/>
      <c r="C29" s="372"/>
      <c r="D29" s="372"/>
      <c r="E29" s="373"/>
      <c r="F29" s="374"/>
      <c r="G29" s="374"/>
      <c r="H29" s="373"/>
      <c r="I29" s="375"/>
      <c r="J29" s="229" t="str">
        <f t="shared" si="0"/>
        <v/>
      </c>
      <c r="K29" s="230" t="str">
        <f t="shared" si="1"/>
        <v/>
      </c>
      <c r="L29" s="230" t="str">
        <f t="shared" si="2"/>
        <v/>
      </c>
      <c r="M29" s="231" t="str">
        <f t="shared" si="3"/>
        <v/>
      </c>
      <c r="N29" s="232" t="str">
        <f t="shared" si="4"/>
        <v/>
      </c>
      <c r="O29" s="384" t="str">
        <f t="shared" si="5"/>
        <v/>
      </c>
    </row>
    <row r="30" spans="2:17" s="110" customFormat="1" ht="15" x14ac:dyDescent="0.2">
      <c r="B30" s="371"/>
      <c r="C30" s="372"/>
      <c r="D30" s="372"/>
      <c r="E30" s="373"/>
      <c r="F30" s="374"/>
      <c r="G30" s="374"/>
      <c r="H30" s="373"/>
      <c r="I30" s="375"/>
      <c r="J30" s="229" t="str">
        <f t="shared" si="0"/>
        <v/>
      </c>
      <c r="K30" s="230" t="str">
        <f t="shared" si="1"/>
        <v/>
      </c>
      <c r="L30" s="230" t="str">
        <f t="shared" si="2"/>
        <v/>
      </c>
      <c r="M30" s="231" t="str">
        <f t="shared" si="3"/>
        <v/>
      </c>
      <c r="N30" s="232" t="str">
        <f t="shared" si="4"/>
        <v/>
      </c>
      <c r="O30" s="384" t="str">
        <f t="shared" si="5"/>
        <v/>
      </c>
    </row>
    <row r="31" spans="2:17" s="110" customFormat="1" ht="15" x14ac:dyDescent="0.2">
      <c r="B31" s="371"/>
      <c r="C31" s="372"/>
      <c r="D31" s="372"/>
      <c r="E31" s="373"/>
      <c r="F31" s="374"/>
      <c r="G31" s="374"/>
      <c r="H31" s="373"/>
      <c r="I31" s="375"/>
      <c r="J31" s="229" t="str">
        <f t="shared" si="0"/>
        <v/>
      </c>
      <c r="K31" s="230" t="str">
        <f t="shared" si="1"/>
        <v/>
      </c>
      <c r="L31" s="230" t="str">
        <f t="shared" si="2"/>
        <v/>
      </c>
      <c r="M31" s="231" t="str">
        <f t="shared" si="3"/>
        <v/>
      </c>
      <c r="N31" s="232" t="str">
        <f t="shared" si="4"/>
        <v/>
      </c>
      <c r="O31" s="384" t="str">
        <f t="shared" si="5"/>
        <v/>
      </c>
    </row>
    <row r="32" spans="2:17" s="110" customFormat="1" ht="15" x14ac:dyDescent="0.2">
      <c r="B32" s="371"/>
      <c r="C32" s="372"/>
      <c r="D32" s="372"/>
      <c r="E32" s="373"/>
      <c r="F32" s="374"/>
      <c r="G32" s="374"/>
      <c r="H32" s="373"/>
      <c r="I32" s="375"/>
      <c r="J32" s="229" t="str">
        <f t="shared" si="0"/>
        <v/>
      </c>
      <c r="K32" s="230" t="str">
        <f t="shared" si="1"/>
        <v/>
      </c>
      <c r="L32" s="230" t="str">
        <f t="shared" si="2"/>
        <v/>
      </c>
      <c r="M32" s="231" t="str">
        <f t="shared" si="3"/>
        <v/>
      </c>
      <c r="N32" s="232" t="str">
        <f t="shared" si="4"/>
        <v/>
      </c>
      <c r="O32" s="384" t="str">
        <f t="shared" si="5"/>
        <v/>
      </c>
    </row>
    <row r="33" spans="2:15" s="110" customFormat="1" ht="15" x14ac:dyDescent="0.2">
      <c r="B33" s="371"/>
      <c r="C33" s="372"/>
      <c r="D33" s="372"/>
      <c r="E33" s="373"/>
      <c r="F33" s="374"/>
      <c r="G33" s="374"/>
      <c r="H33" s="373"/>
      <c r="I33" s="375"/>
      <c r="J33" s="229" t="str">
        <f t="shared" si="0"/>
        <v/>
      </c>
      <c r="K33" s="230" t="str">
        <f t="shared" si="1"/>
        <v/>
      </c>
      <c r="L33" s="230" t="str">
        <f t="shared" si="2"/>
        <v/>
      </c>
      <c r="M33" s="231" t="str">
        <f t="shared" si="3"/>
        <v/>
      </c>
      <c r="N33" s="232" t="str">
        <f t="shared" si="4"/>
        <v/>
      </c>
      <c r="O33" s="384" t="str">
        <f t="shared" si="5"/>
        <v/>
      </c>
    </row>
    <row r="34" spans="2:15" s="110" customFormat="1" ht="15" x14ac:dyDescent="0.2">
      <c r="B34" s="371"/>
      <c r="C34" s="372"/>
      <c r="D34" s="372"/>
      <c r="E34" s="373"/>
      <c r="F34" s="374"/>
      <c r="G34" s="374"/>
      <c r="H34" s="373"/>
      <c r="I34" s="375"/>
      <c r="J34" s="229" t="str">
        <f t="shared" si="0"/>
        <v/>
      </c>
      <c r="K34" s="230" t="str">
        <f t="shared" si="1"/>
        <v/>
      </c>
      <c r="L34" s="230" t="str">
        <f t="shared" si="2"/>
        <v/>
      </c>
      <c r="M34" s="231" t="str">
        <f t="shared" si="3"/>
        <v/>
      </c>
      <c r="N34" s="232" t="str">
        <f t="shared" si="4"/>
        <v/>
      </c>
      <c r="O34" s="384" t="str">
        <f t="shared" si="5"/>
        <v/>
      </c>
    </row>
    <row r="35" spans="2:15" s="110" customFormat="1" ht="15" x14ac:dyDescent="0.2">
      <c r="B35" s="371"/>
      <c r="C35" s="372"/>
      <c r="D35" s="372"/>
      <c r="E35" s="373"/>
      <c r="F35" s="374"/>
      <c r="G35" s="374"/>
      <c r="H35" s="373"/>
      <c r="I35" s="375"/>
      <c r="J35" s="229" t="str">
        <f t="shared" si="0"/>
        <v/>
      </c>
      <c r="K35" s="230" t="str">
        <f t="shared" si="1"/>
        <v/>
      </c>
      <c r="L35" s="230" t="str">
        <f t="shared" si="2"/>
        <v/>
      </c>
      <c r="M35" s="231" t="str">
        <f t="shared" si="3"/>
        <v/>
      </c>
      <c r="N35" s="232" t="str">
        <f t="shared" si="4"/>
        <v/>
      </c>
      <c r="O35" s="384" t="str">
        <f t="shared" si="5"/>
        <v/>
      </c>
    </row>
    <row r="36" spans="2:15" s="110" customFormat="1" ht="15" x14ac:dyDescent="0.2">
      <c r="B36" s="371"/>
      <c r="C36" s="372"/>
      <c r="D36" s="372"/>
      <c r="E36" s="373"/>
      <c r="F36" s="374"/>
      <c r="G36" s="374"/>
      <c r="H36" s="373"/>
      <c r="I36" s="375"/>
      <c r="J36" s="229" t="str">
        <f t="shared" si="0"/>
        <v/>
      </c>
      <c r="K36" s="230" t="str">
        <f t="shared" si="1"/>
        <v/>
      </c>
      <c r="L36" s="230" t="str">
        <f t="shared" si="2"/>
        <v/>
      </c>
      <c r="M36" s="231" t="str">
        <f t="shared" si="3"/>
        <v/>
      </c>
      <c r="N36" s="232" t="str">
        <f t="shared" si="4"/>
        <v/>
      </c>
      <c r="O36" s="384" t="str">
        <f t="shared" si="5"/>
        <v/>
      </c>
    </row>
    <row r="37" spans="2:15" s="110" customFormat="1" ht="15" x14ac:dyDescent="0.2">
      <c r="B37" s="371"/>
      <c r="C37" s="372"/>
      <c r="D37" s="372"/>
      <c r="E37" s="373"/>
      <c r="F37" s="374"/>
      <c r="G37" s="374"/>
      <c r="H37" s="373"/>
      <c r="I37" s="375"/>
      <c r="J37" s="229" t="str">
        <f t="shared" si="0"/>
        <v/>
      </c>
      <c r="K37" s="230" t="str">
        <f t="shared" si="1"/>
        <v/>
      </c>
      <c r="L37" s="230" t="str">
        <f t="shared" si="2"/>
        <v/>
      </c>
      <c r="M37" s="231" t="str">
        <f t="shared" si="3"/>
        <v/>
      </c>
      <c r="N37" s="232" t="str">
        <f t="shared" si="4"/>
        <v/>
      </c>
      <c r="O37" s="384" t="str">
        <f t="shared" si="5"/>
        <v/>
      </c>
    </row>
    <row r="38" spans="2:15" s="110" customFormat="1" ht="15" x14ac:dyDescent="0.2">
      <c r="B38" s="371"/>
      <c r="C38" s="372"/>
      <c r="D38" s="372"/>
      <c r="E38" s="373"/>
      <c r="F38" s="374"/>
      <c r="G38" s="374"/>
      <c r="H38" s="373"/>
      <c r="I38" s="375"/>
      <c r="J38" s="229" t="str">
        <f t="shared" si="0"/>
        <v/>
      </c>
      <c r="K38" s="230" t="str">
        <f t="shared" si="1"/>
        <v/>
      </c>
      <c r="L38" s="230" t="str">
        <f t="shared" si="2"/>
        <v/>
      </c>
      <c r="M38" s="231" t="str">
        <f t="shared" si="3"/>
        <v/>
      </c>
      <c r="N38" s="232" t="str">
        <f t="shared" si="4"/>
        <v/>
      </c>
      <c r="O38" s="384" t="str">
        <f t="shared" si="5"/>
        <v/>
      </c>
    </row>
    <row r="39" spans="2:15" s="110" customFormat="1" ht="15" x14ac:dyDescent="0.2">
      <c r="B39" s="371"/>
      <c r="C39" s="372"/>
      <c r="D39" s="372"/>
      <c r="E39" s="373"/>
      <c r="F39" s="374"/>
      <c r="G39" s="374"/>
      <c r="H39" s="373"/>
      <c r="I39" s="375"/>
      <c r="J39" s="229" t="str">
        <f t="shared" si="0"/>
        <v/>
      </c>
      <c r="K39" s="230" t="str">
        <f t="shared" si="1"/>
        <v/>
      </c>
      <c r="L39" s="230" t="str">
        <f t="shared" si="2"/>
        <v/>
      </c>
      <c r="M39" s="231" t="str">
        <f t="shared" si="3"/>
        <v/>
      </c>
      <c r="N39" s="232" t="str">
        <f t="shared" si="4"/>
        <v/>
      </c>
      <c r="O39" s="384" t="str">
        <f t="shared" si="5"/>
        <v/>
      </c>
    </row>
    <row r="40" spans="2:15" s="110" customFormat="1" ht="15" x14ac:dyDescent="0.2">
      <c r="B40" s="371"/>
      <c r="C40" s="372"/>
      <c r="D40" s="372"/>
      <c r="E40" s="373"/>
      <c r="F40" s="374"/>
      <c r="G40" s="374"/>
      <c r="H40" s="376"/>
      <c r="I40" s="375"/>
      <c r="J40" s="229" t="str">
        <f t="shared" si="0"/>
        <v/>
      </c>
      <c r="K40" s="230" t="str">
        <f t="shared" si="1"/>
        <v/>
      </c>
      <c r="L40" s="230" t="str">
        <f t="shared" si="2"/>
        <v/>
      </c>
      <c r="M40" s="231" t="str">
        <f t="shared" si="3"/>
        <v/>
      </c>
      <c r="N40" s="232" t="str">
        <f t="shared" si="4"/>
        <v/>
      </c>
      <c r="O40" s="384" t="str">
        <f t="shared" si="5"/>
        <v/>
      </c>
    </row>
    <row r="41" spans="2:15" s="110" customFormat="1" ht="15" x14ac:dyDescent="0.2">
      <c r="B41" s="234"/>
      <c r="C41" s="235"/>
      <c r="D41" s="235"/>
      <c r="E41" s="236"/>
      <c r="F41" s="237"/>
      <c r="G41" s="237"/>
      <c r="H41" s="236"/>
      <c r="I41" s="238"/>
      <c r="J41" s="229" t="str">
        <f t="shared" si="0"/>
        <v/>
      </c>
      <c r="K41" s="230" t="str">
        <f t="shared" si="1"/>
        <v/>
      </c>
      <c r="L41" s="230" t="str">
        <f t="shared" si="2"/>
        <v/>
      </c>
      <c r="M41" s="231" t="str">
        <f t="shared" ref="M41" si="6">IFERROR(ROUND(K41+L41,0),"")</f>
        <v/>
      </c>
      <c r="N41" s="232" t="str">
        <f t="shared" si="4"/>
        <v/>
      </c>
      <c r="O41" s="384" t="str">
        <f t="shared" si="5"/>
        <v/>
      </c>
    </row>
    <row r="42" spans="2:15" s="110" customFormat="1" ht="15.75" thickBot="1" x14ac:dyDescent="0.25">
      <c r="B42" s="241"/>
      <c r="C42" s="242"/>
      <c r="D42" s="242"/>
      <c r="E42" s="243" t="s">
        <v>38</v>
      </c>
      <c r="F42" s="244">
        <f>SUM(F11:F41)</f>
        <v>0</v>
      </c>
      <c r="G42" s="244">
        <f>SUM(G11:G41)</f>
        <v>0</v>
      </c>
      <c r="H42" s="245">
        <f>SUM(H11:H41)</f>
        <v>0</v>
      </c>
      <c r="I42" s="246"/>
      <c r="J42" s="245">
        <f>SUM(J11:J41)</f>
        <v>0</v>
      </c>
      <c r="K42" s="244">
        <f>SUM(K11:K41)</f>
        <v>0</v>
      </c>
      <c r="L42" s="244">
        <f>SUM(L11:L41)</f>
        <v>0</v>
      </c>
      <c r="M42" s="244">
        <f>SUM(M11:M41)</f>
        <v>0</v>
      </c>
      <c r="N42" s="247" t="str">
        <f>IFERROR(ROUND(F42/H42,2),"")</f>
        <v/>
      </c>
      <c r="O42" s="385" t="str">
        <f>IFERROR(ROUND(G42/F42,4),"")</f>
        <v/>
      </c>
    </row>
    <row r="43" spans="2:15" s="110" customFormat="1" ht="15" x14ac:dyDescent="0.2">
      <c r="B43" s="249"/>
      <c r="C43" s="249"/>
      <c r="D43" s="249"/>
      <c r="E43" s="249"/>
      <c r="F43" s="249"/>
      <c r="G43" s="249"/>
      <c r="H43" s="249"/>
      <c r="I43" s="250"/>
      <c r="J43" s="250"/>
      <c r="K43" s="249"/>
      <c r="L43" s="251"/>
      <c r="M43" s="249"/>
      <c r="N43" s="252"/>
      <c r="O43" s="249"/>
    </row>
  </sheetData>
  <sheetProtection algorithmName="SHA-512" hashValue="sxx+u4vT3ujLcDFF0sw0A1x3PVjEn8k0FxBXr8ZxGknlL/fw/KQwkwUHjx8aBVrPZlRHiZk7hArujpk9R9KuTA==" saltValue="pie+35JxE6aLlt8IP98Suw==" spinCount="100000" sheet="1" objects="1" scenarios="1"/>
  <mergeCells count="6">
    <mergeCell ref="E7:L7"/>
    <mergeCell ref="B1:O1"/>
    <mergeCell ref="B2:O2"/>
    <mergeCell ref="B3:O3"/>
    <mergeCell ref="B4:O4"/>
    <mergeCell ref="B5:O5"/>
  </mergeCells>
  <pageMargins left="0.7" right="0.7" top="0.75" bottom="0.75" header="0.3" footer="0.3"/>
  <pageSetup paperSize="5" scale="62" orientation="landscape" r:id="rId1"/>
  <headerFooter>
    <oddFooter>&amp;L&amp;A
Page &amp;P
&amp;D</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'Crosswalk '!$B$128:$B$130</xm:f>
          </x14:formula1>
          <xm:sqref>C11:C40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37"/>
  <sheetViews>
    <sheetView zoomScaleNormal="100" workbookViewId="0">
      <selection activeCell="A9" sqref="A9"/>
    </sheetView>
  </sheetViews>
  <sheetFormatPr defaultColWidth="9.28515625" defaultRowHeight="12.75" x14ac:dyDescent="0.2"/>
  <cols>
    <col min="1" max="1" width="45" style="22" customWidth="1"/>
    <col min="2" max="2" width="15.7109375" style="22" customWidth="1"/>
    <col min="3" max="3" width="14.5703125" style="22" customWidth="1"/>
    <col min="4" max="4" width="11.28515625" style="22" customWidth="1"/>
    <col min="5" max="5" width="9.5703125" style="22" customWidth="1"/>
    <col min="6" max="6" width="12.7109375" style="22" customWidth="1"/>
    <col min="7" max="7" width="9.28515625" style="22" customWidth="1"/>
    <col min="8" max="8" width="11.5703125" style="22" customWidth="1"/>
    <col min="9" max="9" width="4.5703125" style="22" customWidth="1"/>
    <col min="10" max="10" width="30" style="22" customWidth="1"/>
    <col min="11" max="11" width="27.7109375" style="22" customWidth="1"/>
    <col min="12" max="12" width="9.28515625" style="22"/>
    <col min="13" max="13" width="11.5703125" style="22" customWidth="1"/>
    <col min="14" max="16384" width="9.28515625" style="22"/>
  </cols>
  <sheetData>
    <row r="1" spans="1:19" ht="22.5" customHeight="1" x14ac:dyDescent="0.3">
      <c r="A1" s="651" t="s">
        <v>66</v>
      </c>
      <c r="B1" s="652"/>
      <c r="C1" s="652"/>
      <c r="D1" s="652"/>
      <c r="E1" s="652"/>
      <c r="F1" s="652"/>
      <c r="G1" s="652"/>
      <c r="H1" s="652"/>
      <c r="I1" s="652"/>
      <c r="J1" s="652"/>
      <c r="K1" s="652"/>
      <c r="L1" s="282"/>
      <c r="M1" s="282"/>
      <c r="N1" s="282"/>
      <c r="O1" s="282"/>
      <c r="P1" s="282"/>
      <c r="Q1" s="282"/>
      <c r="R1" s="282"/>
      <c r="S1" s="282"/>
    </row>
    <row r="2" spans="1:19" ht="21" customHeight="1" x14ac:dyDescent="0.3">
      <c r="A2" s="653" t="s">
        <v>206</v>
      </c>
      <c r="B2" s="652"/>
      <c r="C2" s="652"/>
      <c r="D2" s="652"/>
      <c r="E2" s="652"/>
      <c r="F2" s="652"/>
      <c r="G2" s="652"/>
      <c r="H2" s="652"/>
      <c r="I2" s="652"/>
      <c r="J2" s="652"/>
      <c r="K2" s="652"/>
      <c r="L2" s="282"/>
      <c r="M2" s="282"/>
      <c r="N2" s="282"/>
      <c r="O2" s="282"/>
      <c r="P2" s="282"/>
      <c r="Q2" s="282"/>
      <c r="R2" s="282"/>
      <c r="S2" s="282"/>
    </row>
    <row r="3" spans="1:19" ht="18.75" customHeight="1" x14ac:dyDescent="0.25">
      <c r="A3" s="654" t="str">
        <f>IF(ISBLANK('General Information'!B10),"",+'General Information'!B10)</f>
        <v/>
      </c>
      <c r="B3" s="652"/>
      <c r="C3" s="652"/>
      <c r="D3" s="652"/>
      <c r="E3" s="652"/>
      <c r="F3" s="652"/>
      <c r="G3" s="652"/>
      <c r="H3" s="652"/>
      <c r="I3" s="652"/>
      <c r="J3" s="652"/>
      <c r="K3" s="652"/>
      <c r="L3" s="282"/>
      <c r="M3" s="282"/>
      <c r="N3" s="282"/>
      <c r="O3" s="282"/>
      <c r="P3" s="282"/>
      <c r="Q3" s="282"/>
      <c r="R3" s="282"/>
      <c r="S3" s="282"/>
    </row>
    <row r="4" spans="1:19" ht="15.75" customHeight="1" x14ac:dyDescent="0.25">
      <c r="A4" s="655" t="s">
        <v>207</v>
      </c>
      <c r="B4" s="656"/>
      <c r="C4" s="656"/>
      <c r="D4" s="656"/>
      <c r="E4" s="656"/>
      <c r="F4" s="656"/>
      <c r="G4" s="656"/>
      <c r="H4" s="656"/>
      <c r="I4" s="657"/>
      <c r="J4" s="657"/>
      <c r="K4" s="657"/>
      <c r="L4" s="281"/>
      <c r="M4" s="281"/>
      <c r="N4" s="281"/>
      <c r="O4" s="281"/>
    </row>
    <row r="5" spans="1:19" x14ac:dyDescent="0.2">
      <c r="A5" s="649">
        <f>+'General Information'!B6</f>
        <v>0</v>
      </c>
      <c r="B5" s="658"/>
      <c r="C5" s="658"/>
      <c r="D5" s="658"/>
      <c r="E5" s="658"/>
      <c r="F5" s="658"/>
      <c r="G5" s="658"/>
      <c r="H5" s="658"/>
      <c r="I5" s="658"/>
      <c r="J5" s="658"/>
      <c r="K5" s="658"/>
      <c r="L5" s="288"/>
      <c r="M5" s="288"/>
      <c r="N5" s="288"/>
      <c r="O5" s="288"/>
    </row>
    <row r="6" spans="1:19" x14ac:dyDescent="0.2">
      <c r="A6" s="418"/>
      <c r="B6" s="419"/>
      <c r="C6" s="419"/>
      <c r="D6" s="419"/>
      <c r="E6" s="419"/>
      <c r="F6" s="419"/>
      <c r="G6" s="419"/>
      <c r="H6" s="419"/>
      <c r="I6" s="288"/>
      <c r="J6" s="288"/>
      <c r="K6" s="288"/>
      <c r="L6" s="288"/>
      <c r="M6" s="288"/>
      <c r="N6" s="288"/>
      <c r="O6" s="288"/>
    </row>
    <row r="7" spans="1:19" x14ac:dyDescent="0.2">
      <c r="A7" s="667" t="s">
        <v>235</v>
      </c>
      <c r="B7" s="668"/>
      <c r="C7" s="668"/>
      <c r="D7" s="288"/>
      <c r="E7" s="288"/>
      <c r="F7" s="288"/>
      <c r="G7" s="288"/>
      <c r="H7" s="288"/>
      <c r="I7" s="288"/>
      <c r="J7" s="288"/>
      <c r="K7" s="288"/>
      <c r="L7" s="288"/>
      <c r="M7" s="288"/>
      <c r="N7" s="288"/>
      <c r="O7" s="288"/>
    </row>
    <row r="8" spans="1:19" ht="49.5" customHeight="1" x14ac:dyDescent="0.2">
      <c r="A8" s="492" t="s">
        <v>237</v>
      </c>
      <c r="B8" s="23" t="str">
        <f>IF($A$9="Other Indirect Allocation Method","Indirect Cost Rate Not Applicable","Indirect Cost Rate")</f>
        <v>Indirect Cost Rate</v>
      </c>
      <c r="C8" s="23" t="str">
        <f>IF($A$9="Other Indirect Allocation Method","Indirect Cost to be Allocated","Indirect Cost to be Allocated Not Applicable")</f>
        <v>Indirect Cost to be Allocated Not Applicable</v>
      </c>
      <c r="E8" s="288"/>
      <c r="F8" s="288"/>
      <c r="G8" s="288"/>
      <c r="H8" s="288"/>
      <c r="I8" s="288"/>
      <c r="J8" s="288"/>
      <c r="K8" s="288"/>
      <c r="L8" s="288"/>
      <c r="M8" s="288"/>
      <c r="N8" s="288"/>
      <c r="O8" s="288"/>
    </row>
    <row r="9" spans="1:19" x14ac:dyDescent="0.2">
      <c r="A9" s="493"/>
      <c r="B9" s="602"/>
      <c r="C9" s="378"/>
    </row>
    <row r="10" spans="1:19" s="472" customFormat="1" ht="13.5" thickBot="1" x14ac:dyDescent="0.25">
      <c r="A10" s="494"/>
      <c r="B10" s="471"/>
      <c r="C10" s="66"/>
    </row>
    <row r="11" spans="1:19" ht="25.5" customHeight="1" thickBot="1" x14ac:dyDescent="0.25">
      <c r="A11" s="659" t="s">
        <v>247</v>
      </c>
      <c r="B11" s="661"/>
      <c r="C11" s="661"/>
      <c r="D11" s="661"/>
      <c r="E11" s="661"/>
      <c r="F11" s="661"/>
      <c r="G11" s="661"/>
      <c r="H11" s="660"/>
      <c r="J11" s="659" t="s">
        <v>245</v>
      </c>
      <c r="K11" s="660"/>
    </row>
    <row r="12" spans="1:19" ht="20.25" customHeight="1" x14ac:dyDescent="0.2">
      <c r="A12" s="662" t="s">
        <v>246</v>
      </c>
      <c r="B12" s="663"/>
      <c r="C12" s="663"/>
      <c r="D12" s="663"/>
      <c r="E12" s="663"/>
      <c r="F12" s="663"/>
      <c r="G12" s="663"/>
      <c r="H12" s="664"/>
      <c r="J12" s="665" t="s">
        <v>246</v>
      </c>
      <c r="K12" s="666"/>
    </row>
    <row r="13" spans="1:19" ht="37.5" customHeight="1" x14ac:dyDescent="0.2">
      <c r="A13" s="473" t="s">
        <v>201</v>
      </c>
      <c r="B13" s="23" t="s">
        <v>202</v>
      </c>
      <c r="C13" s="23" t="s">
        <v>240</v>
      </c>
      <c r="D13" s="23" t="s">
        <v>175</v>
      </c>
      <c r="E13" s="23" t="s">
        <v>170</v>
      </c>
      <c r="F13" s="23" t="s">
        <v>171</v>
      </c>
      <c r="G13" s="23" t="s">
        <v>200</v>
      </c>
      <c r="H13" s="479" t="s">
        <v>38</v>
      </c>
      <c r="J13" s="473" t="s">
        <v>239</v>
      </c>
      <c r="K13" s="487" t="s">
        <v>241</v>
      </c>
    </row>
    <row r="14" spans="1:19" x14ac:dyDescent="0.2">
      <c r="A14" s="475" t="s">
        <v>75</v>
      </c>
      <c r="B14" s="285" t="s">
        <v>77</v>
      </c>
      <c r="C14" s="378"/>
      <c r="D14" s="378"/>
      <c r="E14" s="378"/>
      <c r="F14" s="378"/>
      <c r="G14" s="378"/>
      <c r="H14" s="480">
        <f>SUM(C14:G14)</f>
        <v>0</v>
      </c>
      <c r="J14" s="475" t="s">
        <v>169</v>
      </c>
      <c r="K14" s="476"/>
    </row>
    <row r="15" spans="1:19" x14ac:dyDescent="0.2">
      <c r="A15" s="475" t="s">
        <v>70</v>
      </c>
      <c r="B15" s="285" t="s">
        <v>107</v>
      </c>
      <c r="C15" s="378"/>
      <c r="D15" s="378"/>
      <c r="E15" s="378"/>
      <c r="F15" s="378"/>
      <c r="G15" s="378"/>
      <c r="H15" s="480">
        <f t="shared" ref="H15:H34" si="0">SUM(C15:G15)</f>
        <v>0</v>
      </c>
      <c r="J15" s="475" t="s">
        <v>175</v>
      </c>
      <c r="K15" s="476"/>
    </row>
    <row r="16" spans="1:19" x14ac:dyDescent="0.2">
      <c r="A16" s="475" t="s">
        <v>115</v>
      </c>
      <c r="B16" s="285" t="s">
        <v>71</v>
      </c>
      <c r="C16" s="378"/>
      <c r="D16" s="378"/>
      <c r="E16" s="378"/>
      <c r="F16" s="378"/>
      <c r="G16" s="378"/>
      <c r="H16" s="480">
        <f t="shared" si="0"/>
        <v>0</v>
      </c>
      <c r="J16" s="475" t="s">
        <v>170</v>
      </c>
      <c r="K16" s="476"/>
    </row>
    <row r="17" spans="1:11" x14ac:dyDescent="0.2">
      <c r="A17" s="475" t="s">
        <v>118</v>
      </c>
      <c r="B17" s="285" t="s">
        <v>124</v>
      </c>
      <c r="C17" s="378"/>
      <c r="D17" s="378"/>
      <c r="E17" s="378"/>
      <c r="F17" s="378"/>
      <c r="G17" s="378"/>
      <c r="H17" s="480">
        <f t="shared" si="0"/>
        <v>0</v>
      </c>
      <c r="J17" s="475" t="s">
        <v>171</v>
      </c>
      <c r="K17" s="476"/>
    </row>
    <row r="18" spans="1:11" x14ac:dyDescent="0.2">
      <c r="A18" s="475" t="s">
        <v>119</v>
      </c>
      <c r="B18" s="285" t="s">
        <v>125</v>
      </c>
      <c r="C18" s="378"/>
      <c r="D18" s="378"/>
      <c r="E18" s="378"/>
      <c r="F18" s="378"/>
      <c r="G18" s="378"/>
      <c r="H18" s="480">
        <f t="shared" si="0"/>
        <v>0</v>
      </c>
      <c r="J18" s="475" t="s">
        <v>200</v>
      </c>
      <c r="K18" s="476"/>
    </row>
    <row r="19" spans="1:11" x14ac:dyDescent="0.2">
      <c r="A19" s="475" t="s">
        <v>80</v>
      </c>
      <c r="B19" s="285" t="s">
        <v>81</v>
      </c>
      <c r="C19" s="378"/>
      <c r="D19" s="378"/>
      <c r="E19" s="378"/>
      <c r="F19" s="378"/>
      <c r="G19" s="378"/>
      <c r="H19" s="480">
        <f t="shared" si="0"/>
        <v>0</v>
      </c>
      <c r="J19" s="475"/>
      <c r="K19" s="474"/>
    </row>
    <row r="20" spans="1:11" ht="13.5" thickBot="1" x14ac:dyDescent="0.25">
      <c r="A20" s="475" t="s">
        <v>111</v>
      </c>
      <c r="B20" s="285">
        <v>90846</v>
      </c>
      <c r="C20" s="378"/>
      <c r="D20" s="378"/>
      <c r="E20" s="378"/>
      <c r="F20" s="378"/>
      <c r="G20" s="378"/>
      <c r="H20" s="480">
        <f t="shared" si="0"/>
        <v>0</v>
      </c>
      <c r="J20" s="477" t="s">
        <v>38</v>
      </c>
      <c r="K20" s="478">
        <f>ROUND(SUM(K14:K18),0)</f>
        <v>0</v>
      </c>
    </row>
    <row r="21" spans="1:11" x14ac:dyDescent="0.2">
      <c r="A21" s="475" t="s">
        <v>112</v>
      </c>
      <c r="B21" s="285">
        <v>90847</v>
      </c>
      <c r="C21" s="378"/>
      <c r="D21" s="378"/>
      <c r="E21" s="378"/>
      <c r="F21" s="378"/>
      <c r="G21" s="378"/>
      <c r="H21" s="480">
        <f t="shared" si="0"/>
        <v>0</v>
      </c>
    </row>
    <row r="22" spans="1:11" ht="27.75" customHeight="1" x14ac:dyDescent="0.2">
      <c r="A22" s="475" t="s">
        <v>72</v>
      </c>
      <c r="B22" s="285">
        <v>90853</v>
      </c>
      <c r="C22" s="378"/>
      <c r="D22" s="378"/>
      <c r="E22" s="378"/>
      <c r="F22" s="378"/>
      <c r="G22" s="378"/>
      <c r="H22" s="480">
        <f>SUM(C22:G22)</f>
        <v>0</v>
      </c>
    </row>
    <row r="23" spans="1:11" x14ac:dyDescent="0.2">
      <c r="A23" s="475" t="s">
        <v>127</v>
      </c>
      <c r="B23" s="285">
        <v>90832</v>
      </c>
      <c r="C23" s="378"/>
      <c r="D23" s="378"/>
      <c r="E23" s="378"/>
      <c r="F23" s="378"/>
      <c r="G23" s="378"/>
      <c r="H23" s="480">
        <f t="shared" si="0"/>
        <v>0</v>
      </c>
    </row>
    <row r="24" spans="1:11" x14ac:dyDescent="0.2">
      <c r="A24" s="475" t="s">
        <v>128</v>
      </c>
      <c r="B24" s="285">
        <v>90834</v>
      </c>
      <c r="C24" s="378"/>
      <c r="D24" s="378"/>
      <c r="E24" s="378"/>
      <c r="F24" s="378"/>
      <c r="G24" s="378"/>
      <c r="H24" s="480">
        <f t="shared" si="0"/>
        <v>0</v>
      </c>
    </row>
    <row r="25" spans="1:11" x14ac:dyDescent="0.2">
      <c r="A25" s="475" t="s">
        <v>129</v>
      </c>
      <c r="B25" s="285">
        <v>90837</v>
      </c>
      <c r="C25" s="378"/>
      <c r="D25" s="378"/>
      <c r="E25" s="378"/>
      <c r="F25" s="378"/>
      <c r="G25" s="378"/>
      <c r="H25" s="480">
        <f t="shared" si="0"/>
        <v>0</v>
      </c>
    </row>
    <row r="26" spans="1:11" x14ac:dyDescent="0.2">
      <c r="A26" s="475" t="s">
        <v>114</v>
      </c>
      <c r="B26" s="285" t="s">
        <v>113</v>
      </c>
      <c r="C26" s="378"/>
      <c r="D26" s="378"/>
      <c r="E26" s="378"/>
      <c r="F26" s="378"/>
      <c r="G26" s="378"/>
      <c r="H26" s="480">
        <f t="shared" si="0"/>
        <v>0</v>
      </c>
    </row>
    <row r="27" spans="1:11" x14ac:dyDescent="0.2">
      <c r="A27" s="475" t="s">
        <v>130</v>
      </c>
      <c r="B27" s="285">
        <v>90849</v>
      </c>
      <c r="C27" s="378"/>
      <c r="D27" s="378"/>
      <c r="E27" s="378"/>
      <c r="F27" s="378"/>
      <c r="G27" s="378"/>
      <c r="H27" s="480">
        <f t="shared" si="0"/>
        <v>0</v>
      </c>
    </row>
    <row r="28" spans="1:11" x14ac:dyDescent="0.2">
      <c r="A28" s="475" t="s">
        <v>83</v>
      </c>
      <c r="B28" s="285" t="s">
        <v>84</v>
      </c>
      <c r="C28" s="378"/>
      <c r="D28" s="378"/>
      <c r="E28" s="378"/>
      <c r="F28" s="378"/>
      <c r="G28" s="378"/>
      <c r="H28" s="480">
        <f t="shared" si="0"/>
        <v>0</v>
      </c>
    </row>
    <row r="29" spans="1:11" x14ac:dyDescent="0.2">
      <c r="A29" s="475" t="s">
        <v>132</v>
      </c>
      <c r="B29" s="285">
        <v>90792</v>
      </c>
      <c r="C29" s="378"/>
      <c r="D29" s="378"/>
      <c r="E29" s="378"/>
      <c r="F29" s="378"/>
      <c r="G29" s="378"/>
      <c r="H29" s="480">
        <f t="shared" si="0"/>
        <v>0</v>
      </c>
    </row>
    <row r="30" spans="1:11" x14ac:dyDescent="0.2">
      <c r="A30" s="475" t="s">
        <v>131</v>
      </c>
      <c r="B30" s="285">
        <v>90791</v>
      </c>
      <c r="C30" s="378"/>
      <c r="D30" s="378"/>
      <c r="E30" s="378"/>
      <c r="F30" s="378"/>
      <c r="G30" s="378"/>
      <c r="H30" s="480">
        <f t="shared" si="0"/>
        <v>0</v>
      </c>
    </row>
    <row r="31" spans="1:11" x14ac:dyDescent="0.2">
      <c r="A31" s="475" t="s">
        <v>116</v>
      </c>
      <c r="B31" s="285" t="s">
        <v>85</v>
      </c>
      <c r="C31" s="378"/>
      <c r="D31" s="378"/>
      <c r="E31" s="378"/>
      <c r="F31" s="378"/>
      <c r="G31" s="378"/>
      <c r="H31" s="480">
        <f t="shared" si="0"/>
        <v>0</v>
      </c>
    </row>
    <row r="32" spans="1:11" x14ac:dyDescent="0.2">
      <c r="A32" s="475" t="s">
        <v>110</v>
      </c>
      <c r="B32" s="285" t="s">
        <v>73</v>
      </c>
      <c r="C32" s="378"/>
      <c r="D32" s="378"/>
      <c r="E32" s="378"/>
      <c r="F32" s="378"/>
      <c r="G32" s="378"/>
      <c r="H32" s="480">
        <f t="shared" si="0"/>
        <v>0</v>
      </c>
    </row>
    <row r="33" spans="1:8" x14ac:dyDescent="0.2">
      <c r="A33" s="475" t="s">
        <v>109</v>
      </c>
      <c r="B33" s="285">
        <v>99367</v>
      </c>
      <c r="C33" s="378"/>
      <c r="D33" s="378"/>
      <c r="E33" s="378"/>
      <c r="F33" s="378"/>
      <c r="G33" s="378"/>
      <c r="H33" s="480">
        <f t="shared" si="0"/>
        <v>0</v>
      </c>
    </row>
    <row r="34" spans="1:8" x14ac:dyDescent="0.2">
      <c r="A34" s="475" t="s">
        <v>108</v>
      </c>
      <c r="B34" s="285">
        <v>99366</v>
      </c>
      <c r="C34" s="378"/>
      <c r="D34" s="378"/>
      <c r="E34" s="378"/>
      <c r="F34" s="378"/>
      <c r="G34" s="378"/>
      <c r="H34" s="480">
        <f t="shared" si="0"/>
        <v>0</v>
      </c>
    </row>
    <row r="35" spans="1:8" ht="13.5" thickBot="1" x14ac:dyDescent="0.25">
      <c r="A35" s="481" t="s">
        <v>38</v>
      </c>
      <c r="B35" s="482"/>
      <c r="C35" s="483">
        <f>SUM(C14:C34)</f>
        <v>0</v>
      </c>
      <c r="D35" s="483">
        <f t="shared" ref="D35:H35" si="1">SUM(D14:D34)</f>
        <v>0</v>
      </c>
      <c r="E35" s="483">
        <f t="shared" si="1"/>
        <v>0</v>
      </c>
      <c r="F35" s="483">
        <f t="shared" si="1"/>
        <v>0</v>
      </c>
      <c r="G35" s="483">
        <f t="shared" si="1"/>
        <v>0</v>
      </c>
      <c r="H35" s="478">
        <f t="shared" si="1"/>
        <v>0</v>
      </c>
    </row>
    <row r="37" spans="1:8" x14ac:dyDescent="0.2">
      <c r="H37" s="356"/>
    </row>
  </sheetData>
  <sheetProtection algorithmName="SHA-512" hashValue="BTU+FgQ9GT3x7S8HAJa5o01xEisfk5AMQVZb1avOfPOi0h5LK6bGZSPpQENxjGA/0jmjMhxQlwOwbKcwfi9U8g==" saltValue="rJfbdkLsh5LyYPfXe9bQkQ==" spinCount="100000" sheet="1" objects="1" scenarios="1"/>
  <mergeCells count="10">
    <mergeCell ref="J11:K11"/>
    <mergeCell ref="A11:H11"/>
    <mergeCell ref="A12:H12"/>
    <mergeCell ref="J12:K12"/>
    <mergeCell ref="A7:C7"/>
    <mergeCell ref="A1:K1"/>
    <mergeCell ref="A2:K2"/>
    <mergeCell ref="A3:K3"/>
    <mergeCell ref="A4:K4"/>
    <mergeCell ref="A5:K5"/>
  </mergeCells>
  <pageMargins left="0.7" right="0.7" top="0.75" bottom="0.75" header="0.3" footer="0.3"/>
  <pageSetup paperSize="5" scale="84" orientation="landscape" r:id="rId1"/>
  <headerFooter>
    <oddFooter>&amp;L&amp;A
&amp;D</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'Crosswalk '!$F$128:$F$130</xm:f>
          </x14:formula1>
          <xm:sqref>A9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422"/>
  <sheetViews>
    <sheetView view="pageBreakPreview" zoomScale="60" zoomScaleNormal="78" workbookViewId="0">
      <pane xSplit="2" ySplit="9" topLeftCell="C10" activePane="bottomRight" state="frozen"/>
      <selection activeCell="B6" sqref="B6"/>
      <selection pane="topRight" activeCell="B6" sqref="B6"/>
      <selection pane="bottomLeft" activeCell="B6" sqref="B6"/>
      <selection pane="bottomRight" activeCell="F17" sqref="F17"/>
    </sheetView>
  </sheetViews>
  <sheetFormatPr defaultColWidth="9.28515625" defaultRowHeight="20.100000000000001" customHeight="1" x14ac:dyDescent="0.2"/>
  <cols>
    <col min="1" max="1" width="43" style="140" customWidth="1"/>
    <col min="2" max="2" width="17" style="51" customWidth="1"/>
    <col min="3" max="3" width="14.42578125" style="51" customWidth="1"/>
    <col min="4" max="4" width="14.42578125" style="141" customWidth="1"/>
    <col min="5" max="5" width="18.7109375" style="51" customWidth="1"/>
    <col min="6" max="6" width="15.42578125" style="51" customWidth="1"/>
    <col min="7" max="7" width="14.7109375" style="141" customWidth="1"/>
    <col min="8" max="8" width="12.7109375" style="91" customWidth="1"/>
    <col min="9" max="9" width="14.28515625" style="136" customWidth="1"/>
    <col min="10" max="10" width="14.42578125" style="51" customWidth="1"/>
    <col min="11" max="11" width="12.7109375" style="91" customWidth="1"/>
    <col min="12" max="12" width="14.42578125" style="299" customWidth="1"/>
    <col min="13" max="13" width="20.7109375" style="196" customWidth="1"/>
    <col min="14" max="14" width="16.42578125" style="192" customWidth="1"/>
    <col min="15" max="15" width="15" style="118" customWidth="1"/>
    <col min="16" max="16" width="18.7109375" style="118" customWidth="1"/>
    <col min="17" max="17" width="18.28515625" style="118" bestFit="1" customWidth="1"/>
    <col min="18" max="19" width="15.42578125" style="192" customWidth="1"/>
    <col min="20" max="20" width="17.7109375" style="192" customWidth="1"/>
    <col min="21" max="21" width="16" style="192" customWidth="1"/>
    <col min="22" max="22" width="16.7109375" style="188" customWidth="1"/>
    <col min="23" max="23" width="16.42578125" style="117" bestFit="1" customWidth="1"/>
    <col min="24" max="24" width="9.28515625" style="51"/>
    <col min="25" max="25" width="10.7109375" style="51" customWidth="1"/>
    <col min="26" max="16384" width="9.28515625" style="51"/>
  </cols>
  <sheetData>
    <row r="1" spans="1:23" ht="20.100000000000001" customHeight="1" x14ac:dyDescent="0.3">
      <c r="A1" s="651" t="s">
        <v>66</v>
      </c>
      <c r="B1" s="651"/>
      <c r="C1" s="651"/>
      <c r="D1" s="651"/>
      <c r="E1" s="651"/>
      <c r="F1" s="652"/>
      <c r="G1" s="652"/>
      <c r="H1" s="652"/>
      <c r="I1" s="652"/>
      <c r="J1" s="652"/>
      <c r="K1" s="652"/>
      <c r="L1" s="652"/>
      <c r="M1" s="652"/>
      <c r="N1" s="652"/>
      <c r="O1" s="652"/>
      <c r="P1" s="652"/>
      <c r="Q1" s="652"/>
      <c r="R1" s="652"/>
      <c r="S1" s="652"/>
      <c r="T1" s="657"/>
      <c r="U1" s="657"/>
      <c r="V1" s="657"/>
    </row>
    <row r="2" spans="1:23" ht="20.100000000000001" customHeight="1" x14ac:dyDescent="0.3">
      <c r="A2" s="653" t="s">
        <v>179</v>
      </c>
      <c r="B2" s="652"/>
      <c r="C2" s="652"/>
      <c r="D2" s="652"/>
      <c r="E2" s="652"/>
      <c r="F2" s="652"/>
      <c r="G2" s="652"/>
      <c r="H2" s="652"/>
      <c r="I2" s="652"/>
      <c r="J2" s="652"/>
      <c r="K2" s="652"/>
      <c r="L2" s="652"/>
      <c r="M2" s="652"/>
      <c r="N2" s="652"/>
      <c r="O2" s="652"/>
      <c r="P2" s="652"/>
      <c r="Q2" s="652"/>
      <c r="R2" s="652"/>
      <c r="S2" s="652"/>
      <c r="T2" s="657"/>
      <c r="U2" s="657"/>
      <c r="V2" s="657"/>
    </row>
    <row r="3" spans="1:23" ht="20.100000000000001" customHeight="1" x14ac:dyDescent="0.25">
      <c r="A3" s="654" t="str">
        <f>IF(ISBLANK('General Information'!B10),"",+'General Information'!B10)</f>
        <v/>
      </c>
      <c r="B3" s="652"/>
      <c r="C3" s="652"/>
      <c r="D3" s="652"/>
      <c r="E3" s="652"/>
      <c r="F3" s="652"/>
      <c r="G3" s="652"/>
      <c r="H3" s="652"/>
      <c r="I3" s="652"/>
      <c r="J3" s="652"/>
      <c r="K3" s="652"/>
      <c r="L3" s="652"/>
      <c r="M3" s="652"/>
      <c r="N3" s="652"/>
      <c r="O3" s="652"/>
      <c r="P3" s="652"/>
      <c r="Q3" s="652"/>
      <c r="R3" s="652"/>
      <c r="S3" s="652"/>
      <c r="T3" s="657"/>
      <c r="U3" s="657"/>
      <c r="V3" s="657"/>
    </row>
    <row r="4" spans="1:23" ht="20.100000000000001" customHeight="1" x14ac:dyDescent="0.25">
      <c r="A4" s="655" t="s">
        <v>207</v>
      </c>
      <c r="B4" s="656"/>
      <c r="C4" s="656"/>
      <c r="D4" s="656"/>
      <c r="E4" s="656"/>
      <c r="F4" s="656"/>
      <c r="G4" s="656"/>
      <c r="H4" s="656"/>
      <c r="I4" s="657"/>
      <c r="J4" s="657"/>
      <c r="K4" s="657"/>
      <c r="L4" s="657"/>
      <c r="M4" s="657"/>
      <c r="N4" s="657"/>
      <c r="O4" s="657"/>
      <c r="P4" s="657"/>
      <c r="Q4" s="657"/>
      <c r="R4" s="657"/>
      <c r="S4" s="657"/>
      <c r="T4" s="657"/>
      <c r="U4" s="657"/>
      <c r="V4" s="657"/>
    </row>
    <row r="5" spans="1:23" ht="20.100000000000001" customHeight="1" x14ac:dyDescent="0.2">
      <c r="A5" s="649">
        <f>+'General Information'!B6</f>
        <v>0</v>
      </c>
      <c r="B5" s="658"/>
      <c r="C5" s="658"/>
      <c r="D5" s="658"/>
      <c r="E5" s="658"/>
      <c r="F5" s="658"/>
      <c r="G5" s="658"/>
      <c r="H5" s="658"/>
      <c r="I5" s="657"/>
      <c r="J5" s="657"/>
      <c r="K5" s="657"/>
      <c r="L5" s="657"/>
      <c r="M5" s="657"/>
      <c r="N5" s="657"/>
      <c r="O5" s="657"/>
      <c r="P5" s="657"/>
      <c r="Q5" s="657"/>
      <c r="R5" s="657"/>
      <c r="S5" s="657"/>
      <c r="T5" s="657"/>
      <c r="U5" s="657"/>
      <c r="V5" s="657"/>
    </row>
    <row r="6" spans="1:23" ht="20.100000000000001" customHeight="1" thickBot="1" x14ac:dyDescent="0.25">
      <c r="A6" s="415"/>
      <c r="B6" s="524"/>
      <c r="C6" s="416"/>
      <c r="D6" s="416"/>
      <c r="E6" s="416"/>
      <c r="F6" s="416"/>
      <c r="G6" s="416"/>
      <c r="H6" s="416"/>
      <c r="I6" s="417"/>
      <c r="J6" s="417"/>
      <c r="K6" s="417"/>
      <c r="L6" s="417"/>
      <c r="M6" s="417"/>
      <c r="N6" s="417"/>
      <c r="O6" s="417"/>
      <c r="P6" s="417"/>
      <c r="Q6" s="417"/>
      <c r="R6" s="417"/>
      <c r="S6" s="417"/>
      <c r="T6" s="417"/>
      <c r="U6" s="535"/>
      <c r="V6" s="417"/>
    </row>
    <row r="7" spans="1:23" ht="87" customHeight="1" thickBot="1" x14ac:dyDescent="0.3">
      <c r="A7" s="560"/>
      <c r="B7" s="561"/>
      <c r="C7" s="562"/>
      <c r="D7" s="562"/>
      <c r="E7" s="562"/>
      <c r="F7" s="536" t="s">
        <v>260</v>
      </c>
      <c r="G7" s="537" t="s">
        <v>199</v>
      </c>
      <c r="H7" s="538" t="s">
        <v>19</v>
      </c>
      <c r="I7" s="539" t="s">
        <v>256</v>
      </c>
      <c r="J7" s="539" t="s">
        <v>41</v>
      </c>
      <c r="K7" s="540" t="s">
        <v>30</v>
      </c>
      <c r="L7" s="541" t="s">
        <v>173</v>
      </c>
      <c r="M7" s="541" t="s">
        <v>177</v>
      </c>
      <c r="N7" s="541" t="s">
        <v>217</v>
      </c>
      <c r="O7" s="540" t="s">
        <v>172</v>
      </c>
      <c r="P7" s="542" t="s">
        <v>178</v>
      </c>
      <c r="Q7" s="540" t="s">
        <v>204</v>
      </c>
      <c r="R7" s="541" t="s">
        <v>203</v>
      </c>
      <c r="S7" s="541" t="s">
        <v>243</v>
      </c>
      <c r="T7" s="596" t="str">
        <f>IF(ISBLANK(+'Direct and Indirect Expenses'!$A$9),"Indirect Cost Method",+'Direct and Indirect Expenses'!$A$9)</f>
        <v>Indirect Cost Method</v>
      </c>
      <c r="U7" s="543" t="s">
        <v>23</v>
      </c>
      <c r="V7" s="544" t="s">
        <v>44</v>
      </c>
    </row>
    <row r="8" spans="1:23" ht="20.100000000000001" customHeight="1" thickBot="1" x14ac:dyDescent="0.3">
      <c r="A8" s="420" t="s">
        <v>258</v>
      </c>
      <c r="B8" s="534"/>
      <c r="C8" s="421"/>
      <c r="D8" s="422"/>
      <c r="E8" s="421"/>
      <c r="F8" s="425">
        <f>SUMIF($A$2:$A$419,"Total",F$2:F$419)</f>
        <v>0</v>
      </c>
      <c r="G8" s="425">
        <f>SUMIF($A$2:$A$419,"Total",G$2:G$419)</f>
        <v>0</v>
      </c>
      <c r="H8" s="423"/>
      <c r="I8" s="425">
        <f>SUMIF($A$2:$A$419,"Total",I$2:I$419)</f>
        <v>0</v>
      </c>
      <c r="J8" s="425">
        <f>SUMIF($A$2:$A$419,"Total",J$2:J$419)</f>
        <v>0</v>
      </c>
      <c r="K8" s="525"/>
      <c r="L8" s="424">
        <f t="shared" ref="L8:S8" si="0">SUMIF($A$2:$A$419,"Total",L$2:L$419)</f>
        <v>0</v>
      </c>
      <c r="M8" s="424">
        <f t="shared" si="0"/>
        <v>0</v>
      </c>
      <c r="N8" s="424">
        <f t="shared" si="0"/>
        <v>0</v>
      </c>
      <c r="O8" s="426">
        <f t="shared" si="0"/>
        <v>0</v>
      </c>
      <c r="P8" s="424">
        <f t="shared" si="0"/>
        <v>0</v>
      </c>
      <c r="Q8" s="424">
        <f t="shared" si="0"/>
        <v>0</v>
      </c>
      <c r="R8" s="424">
        <f t="shared" si="0"/>
        <v>0</v>
      </c>
      <c r="S8" s="424">
        <f t="shared" si="0"/>
        <v>0</v>
      </c>
      <c r="T8" s="424">
        <f>IFERROR(SUMIF($A$2:$A$419,"Total",T$2:T$419),0)</f>
        <v>0</v>
      </c>
      <c r="U8" s="424">
        <f>IFERROR(SUMIF($A$2:$A$419,"Total",U$2:U$419),0)</f>
        <v>0</v>
      </c>
      <c r="V8" s="427" t="str">
        <f>IFERROR(AVERAGEIF($A$2:$A$419,"Total",V$2:V$419),"")</f>
        <v/>
      </c>
    </row>
    <row r="9" spans="1:23" s="140" customFormat="1" ht="20.25" customHeight="1" thickBot="1" x14ac:dyDescent="0.3">
      <c r="A9" s="545" t="s">
        <v>257</v>
      </c>
      <c r="B9" s="526">
        <f>IFERROR((G8+I8)/SUMIF($A$2:$A$419,"Total Available Hours/Year",B$2:B$419),0)</f>
        <v>0</v>
      </c>
      <c r="C9" s="546"/>
      <c r="D9" s="547"/>
      <c r="E9" s="546"/>
      <c r="F9" s="546"/>
      <c r="G9" s="547"/>
      <c r="H9" s="548"/>
      <c r="I9" s="549"/>
      <c r="J9" s="546"/>
      <c r="K9" s="548"/>
      <c r="L9" s="550"/>
      <c r="M9" s="551"/>
      <c r="N9" s="551"/>
      <c r="O9" s="526"/>
      <c r="P9" s="526"/>
      <c r="Q9" s="526"/>
      <c r="R9" s="552"/>
      <c r="S9" s="552"/>
      <c r="T9" s="552"/>
      <c r="U9" s="552"/>
      <c r="V9" s="553"/>
      <c r="W9" s="144"/>
    </row>
    <row r="10" spans="1:23" s="140" customFormat="1" ht="20.25" customHeight="1" thickBot="1" x14ac:dyDescent="0.3">
      <c r="A10" s="527"/>
      <c r="B10" s="531"/>
      <c r="C10" s="152"/>
      <c r="D10" s="528"/>
      <c r="E10" s="152"/>
      <c r="F10" s="152"/>
      <c r="G10" s="528"/>
      <c r="H10" s="529"/>
      <c r="I10" s="530"/>
      <c r="J10" s="152"/>
      <c r="K10" s="529"/>
      <c r="L10" s="301"/>
      <c r="M10" s="306"/>
      <c r="N10" s="306"/>
      <c r="O10" s="531"/>
      <c r="P10" s="531"/>
      <c r="Q10" s="531"/>
      <c r="R10" s="532"/>
      <c r="S10" s="532"/>
      <c r="T10" s="532"/>
      <c r="U10" s="532"/>
      <c r="V10" s="533"/>
      <c r="W10" s="144"/>
    </row>
    <row r="11" spans="1:23" ht="29.25" customHeight="1" x14ac:dyDescent="0.3">
      <c r="A11" s="669" t="str">
        <f>IF(ISBLANK('Direct Prof Sal &amp; Fringes  '!B11),"",+'Direct Prof Sal &amp; Fringes  '!B11)</f>
        <v/>
      </c>
      <c r="B11" s="673"/>
      <c r="C11" s="673"/>
      <c r="D11" s="673"/>
      <c r="E11" s="673"/>
      <c r="F11" s="673"/>
      <c r="G11" s="673"/>
      <c r="H11" s="673"/>
      <c r="I11" s="673"/>
      <c r="J11" s="673"/>
      <c r="K11" s="673"/>
      <c r="L11" s="673"/>
      <c r="M11" s="673"/>
      <c r="N11" s="673"/>
      <c r="O11" s="674"/>
      <c r="P11" s="674"/>
      <c r="Q11" s="674"/>
      <c r="R11" s="674"/>
      <c r="S11" s="674"/>
      <c r="T11" s="674"/>
      <c r="U11" s="674"/>
      <c r="V11" s="675"/>
    </row>
    <row r="12" spans="1:23" ht="19.5" customHeight="1" x14ac:dyDescent="0.25">
      <c r="A12" s="429" t="s">
        <v>18</v>
      </c>
      <c r="B12" s="430">
        <f>+'Direct Prof Sal &amp; Fringes  '!I39</f>
        <v>0</v>
      </c>
      <c r="C12" s="430"/>
      <c r="D12" s="431"/>
      <c r="E12" s="432"/>
      <c r="F12" s="432"/>
      <c r="G12" s="431"/>
      <c r="H12" s="433"/>
      <c r="I12" s="434"/>
      <c r="J12" s="432"/>
      <c r="K12" s="433"/>
      <c r="L12" s="435"/>
      <c r="M12" s="436"/>
      <c r="N12" s="436"/>
      <c r="O12" s="437"/>
      <c r="P12" s="437"/>
      <c r="Q12" s="437"/>
      <c r="R12" s="470"/>
      <c r="S12" s="470"/>
      <c r="T12" s="438"/>
      <c r="U12" s="439"/>
      <c r="V12" s="440"/>
    </row>
    <row r="13" spans="1:23" ht="19.5" customHeight="1" x14ac:dyDescent="0.25">
      <c r="A13" s="429" t="s">
        <v>163</v>
      </c>
      <c r="B13" s="441">
        <f>+'Direct Prof Sal &amp; Fringes  '!L39</f>
        <v>0</v>
      </c>
      <c r="C13" s="441"/>
      <c r="D13" s="431"/>
      <c r="E13" s="432"/>
      <c r="F13" s="432"/>
      <c r="G13" s="431"/>
      <c r="H13" s="433"/>
      <c r="I13" s="434"/>
      <c r="J13" s="432"/>
      <c r="K13" s="433"/>
      <c r="L13" s="435"/>
      <c r="M13" s="436"/>
      <c r="N13" s="436"/>
      <c r="O13" s="437"/>
      <c r="P13" s="437"/>
      <c r="Q13" s="437"/>
      <c r="R13" s="442"/>
      <c r="S13" s="442"/>
      <c r="T13" s="442"/>
      <c r="U13" s="442"/>
      <c r="V13" s="443"/>
    </row>
    <row r="14" spans="1:23" ht="19.5" customHeight="1" thickBot="1" x14ac:dyDescent="0.3">
      <c r="A14" s="444" t="s">
        <v>222</v>
      </c>
      <c r="B14" s="445">
        <f>IFERROR(ROUND(+(SUM($J$17:$J$45))/B12,8),0)</f>
        <v>0</v>
      </c>
      <c r="C14" s="445"/>
      <c r="D14" s="446" t="str">
        <f>IFERROR(IF(B14&gt;1,"Productivity Cannot Exceed 100%",""),"")</f>
        <v/>
      </c>
      <c r="E14" s="447"/>
      <c r="F14" s="447"/>
      <c r="G14" s="448"/>
      <c r="H14" s="449"/>
      <c r="I14" s="450"/>
      <c r="J14" s="447"/>
      <c r="K14" s="449"/>
      <c r="L14" s="451"/>
      <c r="M14" s="452"/>
      <c r="N14" s="452"/>
      <c r="O14" s="453"/>
      <c r="P14" s="453"/>
      <c r="Q14" s="453"/>
      <c r="R14" s="454"/>
      <c r="S14" s="454"/>
      <c r="T14" s="454"/>
      <c r="U14" s="454"/>
      <c r="V14" s="455"/>
    </row>
    <row r="15" spans="1:23" ht="19.5" customHeight="1" thickBot="1" x14ac:dyDescent="0.3">
      <c r="A15" s="428" t="s">
        <v>49</v>
      </c>
      <c r="B15" s="428" t="s">
        <v>50</v>
      </c>
      <c r="C15" s="428" t="s">
        <v>51</v>
      </c>
      <c r="D15" s="428" t="s">
        <v>52</v>
      </c>
      <c r="E15" s="428" t="s">
        <v>53</v>
      </c>
      <c r="F15" s="428" t="s">
        <v>54</v>
      </c>
      <c r="G15" s="428" t="s">
        <v>55</v>
      </c>
      <c r="H15" s="428" t="s">
        <v>56</v>
      </c>
      <c r="I15" s="428" t="s">
        <v>57</v>
      </c>
      <c r="J15" s="428" t="s">
        <v>58</v>
      </c>
      <c r="K15" s="428" t="s">
        <v>59</v>
      </c>
      <c r="L15" s="428" t="s">
        <v>223</v>
      </c>
      <c r="M15" s="428" t="s">
        <v>224</v>
      </c>
      <c r="N15" s="428" t="s">
        <v>225</v>
      </c>
      <c r="O15" s="428" t="s">
        <v>226</v>
      </c>
      <c r="P15" s="428" t="s">
        <v>227</v>
      </c>
      <c r="Q15" s="428" t="s">
        <v>228</v>
      </c>
      <c r="R15" s="428" t="s">
        <v>229</v>
      </c>
      <c r="S15" s="428" t="s">
        <v>230</v>
      </c>
      <c r="T15" s="428" t="s">
        <v>231</v>
      </c>
      <c r="U15" s="428" t="s">
        <v>232</v>
      </c>
      <c r="V15" s="428" t="s">
        <v>242</v>
      </c>
    </row>
    <row r="16" spans="1:23" ht="92.25" customHeight="1" thickBot="1" x14ac:dyDescent="0.3">
      <c r="A16" s="346" t="s">
        <v>244</v>
      </c>
      <c r="B16" s="347" t="s">
        <v>42</v>
      </c>
      <c r="C16" s="347" t="s">
        <v>198</v>
      </c>
      <c r="D16" s="348" t="s">
        <v>62</v>
      </c>
      <c r="E16" s="348" t="s">
        <v>98</v>
      </c>
      <c r="F16" s="536" t="s">
        <v>260</v>
      </c>
      <c r="G16" s="349" t="s">
        <v>199</v>
      </c>
      <c r="H16" s="350" t="s">
        <v>19</v>
      </c>
      <c r="I16" s="347" t="s">
        <v>256</v>
      </c>
      <c r="J16" s="347" t="s">
        <v>41</v>
      </c>
      <c r="K16" s="351" t="s">
        <v>30</v>
      </c>
      <c r="L16" s="352" t="s">
        <v>173</v>
      </c>
      <c r="M16" s="352" t="s">
        <v>177</v>
      </c>
      <c r="N16" s="352" t="s">
        <v>217</v>
      </c>
      <c r="O16" s="351" t="s">
        <v>172</v>
      </c>
      <c r="P16" s="353" t="s">
        <v>178</v>
      </c>
      <c r="Q16" s="351" t="s">
        <v>204</v>
      </c>
      <c r="R16" s="352" t="s">
        <v>203</v>
      </c>
      <c r="S16" s="352" t="s">
        <v>243</v>
      </c>
      <c r="T16" s="597" t="str">
        <f>IF(ISBLANK(+'Direct and Indirect Expenses'!$A$9),"Indirect Cost Method",+'Direct and Indirect Expenses'!$A$9)</f>
        <v>Indirect Cost Method</v>
      </c>
      <c r="U16" s="354" t="s">
        <v>23</v>
      </c>
      <c r="V16" s="355" t="s">
        <v>44</v>
      </c>
    </row>
    <row r="17" spans="1:25" ht="20.100000000000001" customHeight="1" x14ac:dyDescent="0.2">
      <c r="A17" s="290" t="s">
        <v>75</v>
      </c>
      <c r="B17" s="283" t="s">
        <v>77</v>
      </c>
      <c r="C17" s="283"/>
      <c r="D17" s="198" t="str">
        <f t="array" ref="D17">IFERROR(INDEX('Crosswalk '!$C$9:$C$94,MATCH(1,($B17='Crosswalk '!$B$9:$B$94)*($E17='Crosswalk '!$G$9:$G$94),0)),"")</f>
        <v/>
      </c>
      <c r="E17" s="291" t="str">
        <f t="array" ref="E17">IFERROR(INDEX('Crosswalk '!$E$106:$E$125,MATCH(1,($A$11='Crosswalk '!$D$106:$D$125)*($C17='Crosswalk '!$F$106:$F$125),0)),"")</f>
        <v/>
      </c>
      <c r="F17" s="484"/>
      <c r="G17" s="292"/>
      <c r="H17" s="159" t="str">
        <f t="array" ref="H17">IFERROR(INDEX('Crosswalk '!$E$9:$E$103,MATCH(1,($B17='Crosswalk '!$B$9:$B$103)*($E17='Crosswalk '!$G$9:$G$103),0)),"")</f>
        <v/>
      </c>
      <c r="I17" s="199">
        <f t="shared" ref="I17:I39" si="1">IFERROR(ROUND(F17*H17,2),0)</f>
        <v>0</v>
      </c>
      <c r="J17" s="126" t="str">
        <f t="shared" ref="J17:J24" si="2">IF(ISTEXT(H17),"",IFERROR(ROUND(I17+G17,2),""))</f>
        <v/>
      </c>
      <c r="K17" s="200">
        <f t="shared" ref="K17:K39" si="3">IF(ISERROR(J17/$J$50),0,ROUND(J17/$J$50,8))</f>
        <v>0</v>
      </c>
      <c r="L17" s="294">
        <f>ROUND(K17*$B$13,0)</f>
        <v>0</v>
      </c>
      <c r="M17" s="294">
        <f t="shared" ref="M17:M39" si="4">IFERROR(ROUND(L17/$L$50*$M$50,0),0)</f>
        <v>0</v>
      </c>
      <c r="N17" s="202">
        <f t="shared" ref="N17:N39" si="5">ROUND(L17+M17,0)</f>
        <v>0</v>
      </c>
      <c r="O17" s="201" t="str">
        <f>IFERROR(ROUND(N17/'Direct Prof Sal &amp; Fringes  '!$L$8,8),"")</f>
        <v/>
      </c>
      <c r="P17" s="202" t="str">
        <f>IF(ISBLANK(O17),"",IFERROR(ROUND(O17*' Indirect Non-prof Sal &amp; Fringe'!$M$42,0),""))</f>
        <v/>
      </c>
      <c r="Q17" s="202" t="str">
        <f>IF(ISBLANK(O17),"",IFERROR(ROUND(O17*'Direct and Indirect Expenses'!$K$20,0),""))</f>
        <v/>
      </c>
      <c r="R17" s="308">
        <f>IFERROR(SUMIF('Direct and Indirect Expenses'!$B$14:$B$34,'Financial Summary &amp; Stats'!B17,'Direct and Indirect Expenses'!$H$14:$H$34)*N17/SUMIF('Financial Summary &amp; Stats'!$B:$B,'Financial Summary &amp; Stats'!B17,'Financial Summary &amp; Stats'!$N:$N),0)</f>
        <v>0</v>
      </c>
      <c r="S17" s="595"/>
      <c r="T17" s="202">
        <f>IFERROR(IF('Direct and Indirect Expenses'!$A$9="Other Indirect Allocation Method",(ROUND((N17+P17)/($N$8+$P$8)*'Direct and Indirect Expenses'!$C$9,0)),ROUND((N17+P17)*'Direct and Indirect Expenses'!$B$9,0)),0)</f>
        <v>0</v>
      </c>
      <c r="U17" s="202">
        <f>IFERROR(ROUND((T17+R17+Q17+P17+N17+S17),0),0)</f>
        <v>0</v>
      </c>
      <c r="V17" s="293" t="str">
        <f>IFERROR(ROUND(U17/F17,2),"")</f>
        <v/>
      </c>
      <c r="Y17" s="128"/>
    </row>
    <row r="18" spans="1:25" ht="20.100000000000001" customHeight="1" x14ac:dyDescent="0.2">
      <c r="A18" s="116" t="s">
        <v>70</v>
      </c>
      <c r="B18" s="122" t="s">
        <v>107</v>
      </c>
      <c r="C18" s="122"/>
      <c r="D18" s="123" t="str">
        <f t="array" ref="D18">IFERROR(INDEX('Crosswalk '!$C$9:$C$94,MATCH(1,(B18='Crosswalk '!$B$9:$B$94)*(E18='Crosswalk '!$G$9:$G$94),0)),"")</f>
        <v/>
      </c>
      <c r="E18" s="159" t="str">
        <f t="array" ref="E18">IFERROR(INDEX('Crosswalk '!$E$106:$E$125,MATCH(1,($A$11='Crosswalk '!$D$106:$D$125)*($C18='Crosswalk '!$F$106:$F$125),0)),"")</f>
        <v/>
      </c>
      <c r="F18" s="484"/>
      <c r="G18" s="185"/>
      <c r="H18" s="159" t="str">
        <f t="array" ref="H18">IFERROR(INDEX('Crosswalk '!$E$9:$E$103,MATCH(1,($B18='Crosswalk '!$B$9:$B$103)*($E18='Crosswalk '!$G$9:$G$103),0)),"")</f>
        <v/>
      </c>
      <c r="I18" s="125">
        <f t="shared" si="1"/>
        <v>0</v>
      </c>
      <c r="J18" s="126" t="str">
        <f t="shared" si="2"/>
        <v/>
      </c>
      <c r="K18" s="127">
        <f t="shared" si="3"/>
        <v>0</v>
      </c>
      <c r="L18" s="295">
        <f t="shared" ref="L18:L39" si="6">ROUND(K18*$B$13,0)</f>
        <v>0</v>
      </c>
      <c r="M18" s="295">
        <f t="shared" si="4"/>
        <v>0</v>
      </c>
      <c r="N18" s="186">
        <f t="shared" si="5"/>
        <v>0</v>
      </c>
      <c r="O18" s="201" t="str">
        <f>IFERROR(ROUND(N18/'Direct Prof Sal &amp; Fringes  '!$L$8,8),"")</f>
        <v/>
      </c>
      <c r="P18" s="186" t="str">
        <f>IF(ISBLANK(O18),"",IFERROR(ROUND(O18*' Indirect Non-prof Sal &amp; Fringe'!$M$42,0),""))</f>
        <v/>
      </c>
      <c r="Q18" s="186" t="str">
        <f>IF(ISBLANK(O18),"",IFERROR(ROUND(O18*'Direct and Indirect Expenses'!$K$20,0),""))</f>
        <v/>
      </c>
      <c r="R18" s="309">
        <f>IFERROR(SUMIF('Direct and Indirect Expenses'!$B$14:$B$34,'Financial Summary &amp; Stats'!B18,'Direct and Indirect Expenses'!$H$14:$H$34)*N18/SUMIF('Financial Summary &amp; Stats'!$B:$B,'Financial Summary &amp; Stats'!B18,'Financial Summary &amp; Stats'!$N:$N),0)</f>
        <v>0</v>
      </c>
      <c r="S18" s="595"/>
      <c r="T18" s="202">
        <f>IFERROR(IF('Direct and Indirect Expenses'!$A$9="Other Indirect Allocation Method",(ROUND((N18+P18)/($N$8+$P$8)*'Direct and Indirect Expenses'!$C$9,0)),ROUND((N18+P18)*'Direct and Indirect Expenses'!$B$9,0)),0)</f>
        <v>0</v>
      </c>
      <c r="U18" s="202">
        <f t="shared" ref="U18:U39" si="7">IFERROR(ROUND((T18+R18+Q18+P18+N18+S18),0),0)</f>
        <v>0</v>
      </c>
      <c r="V18" s="293" t="str">
        <f t="shared" ref="V18:V39" si="8">IFERROR(ROUND(U18/F18,2),"")</f>
        <v/>
      </c>
      <c r="Y18" s="128"/>
    </row>
    <row r="19" spans="1:25" ht="20.100000000000001" customHeight="1" x14ac:dyDescent="0.2">
      <c r="A19" s="116" t="s">
        <v>115</v>
      </c>
      <c r="B19" s="122" t="s">
        <v>71</v>
      </c>
      <c r="C19" s="122"/>
      <c r="D19" s="123" t="str">
        <f t="array" ref="D19">IFERROR(INDEX('Crosswalk '!$C$9:$C$94,MATCH(1,(B19='Crosswalk '!$B$9:$B$94)*(E19='Crosswalk '!$G$9:$G$94),0)),"")</f>
        <v/>
      </c>
      <c r="E19" s="159" t="str">
        <f t="array" ref="E19">IFERROR(INDEX('Crosswalk '!$E$106:$E$125,MATCH(1,($A$11='Crosswalk '!$D$106:$D$125)*($C19='Crosswalk '!$F$106:$F$125),0)),"")</f>
        <v/>
      </c>
      <c r="F19" s="484"/>
      <c r="G19" s="185"/>
      <c r="H19" s="159" t="str">
        <f t="array" ref="H19">IFERROR(INDEX('Crosswalk '!$E$9:$E$103,MATCH(1,($B19='Crosswalk '!$B$9:$B$103)*($E19='Crosswalk '!$G$9:$G$103),0)),"")</f>
        <v/>
      </c>
      <c r="I19" s="125">
        <f t="shared" si="1"/>
        <v>0</v>
      </c>
      <c r="J19" s="126" t="str">
        <f t="shared" si="2"/>
        <v/>
      </c>
      <c r="K19" s="127">
        <f t="shared" si="3"/>
        <v>0</v>
      </c>
      <c r="L19" s="295">
        <f t="shared" si="6"/>
        <v>0</v>
      </c>
      <c r="M19" s="295">
        <f t="shared" si="4"/>
        <v>0</v>
      </c>
      <c r="N19" s="186">
        <f t="shared" si="5"/>
        <v>0</v>
      </c>
      <c r="O19" s="201" t="str">
        <f>IFERROR(ROUND(N19/'Direct Prof Sal &amp; Fringes  '!$L$8,8),"")</f>
        <v/>
      </c>
      <c r="P19" s="186" t="str">
        <f>IF(ISBLANK(O19),"",IFERROR(ROUND(O19*' Indirect Non-prof Sal &amp; Fringe'!$M$42,0),""))</f>
        <v/>
      </c>
      <c r="Q19" s="186" t="str">
        <f>IF(ISBLANK(O19),"",IFERROR(ROUND(O19*'Direct and Indirect Expenses'!$K$20,0),""))</f>
        <v/>
      </c>
      <c r="R19" s="309">
        <f>IFERROR(SUMIF('Direct and Indirect Expenses'!$B$14:$B$34,'Financial Summary &amp; Stats'!B19,'Direct and Indirect Expenses'!$H$14:$H$34)*N19/SUMIF('Financial Summary &amp; Stats'!$B:$B,'Financial Summary &amp; Stats'!B19,'Financial Summary &amp; Stats'!$N:$N),0)</f>
        <v>0</v>
      </c>
      <c r="S19" s="595"/>
      <c r="T19" s="202">
        <f>IFERROR(IF('Direct and Indirect Expenses'!$A$9="Other Indirect Allocation Method",(ROUND((N19+P19)/($N$8+$P$8)*'Direct and Indirect Expenses'!$C$9,0)),ROUND((N19+P19)*'Direct and Indirect Expenses'!$B$9,0)),0)</f>
        <v>0</v>
      </c>
      <c r="U19" s="202">
        <f t="shared" si="7"/>
        <v>0</v>
      </c>
      <c r="V19" s="293" t="str">
        <f t="shared" si="8"/>
        <v/>
      </c>
      <c r="Y19" s="128"/>
    </row>
    <row r="20" spans="1:25" ht="20.100000000000001" customHeight="1" x14ac:dyDescent="0.2">
      <c r="A20" s="116" t="s">
        <v>118</v>
      </c>
      <c r="B20" s="122" t="s">
        <v>124</v>
      </c>
      <c r="C20" s="122"/>
      <c r="D20" s="123" t="str">
        <f t="array" ref="D20">IFERROR(INDEX('Crosswalk '!$C$9:$C$94,MATCH(1,(B20='Crosswalk '!$B$9:$B$94)*(E20='Crosswalk '!$G$9:$G$94),0)),"")</f>
        <v/>
      </c>
      <c r="E20" s="159" t="str">
        <f t="array" ref="E20">IFERROR(INDEX('Crosswalk '!$E$106:$E$125,MATCH(1,($A$11='Crosswalk '!$D$106:$D$125)*($C20='Crosswalk '!$F$106:$F$125),0)),"")</f>
        <v/>
      </c>
      <c r="F20" s="484"/>
      <c r="G20" s="185"/>
      <c r="H20" s="159" t="str">
        <f t="array" ref="H20">IFERROR(INDEX('Crosswalk '!$E$9:$E$103,MATCH(1,($B20='Crosswalk '!$B$9:$B$103)*($E20='Crosswalk '!$G$9:$G$103),0)),"")</f>
        <v/>
      </c>
      <c r="I20" s="125">
        <f t="shared" si="1"/>
        <v>0</v>
      </c>
      <c r="J20" s="126" t="str">
        <f t="shared" si="2"/>
        <v/>
      </c>
      <c r="K20" s="127">
        <f t="shared" si="3"/>
        <v>0</v>
      </c>
      <c r="L20" s="295">
        <f t="shared" si="6"/>
        <v>0</v>
      </c>
      <c r="M20" s="295">
        <f t="shared" si="4"/>
        <v>0</v>
      </c>
      <c r="N20" s="186">
        <f t="shared" si="5"/>
        <v>0</v>
      </c>
      <c r="O20" s="201" t="str">
        <f>IFERROR(ROUND(N20/'Direct Prof Sal &amp; Fringes  '!$L$8,8),"")</f>
        <v/>
      </c>
      <c r="P20" s="186" t="str">
        <f>IF(ISBLANK(O20),"",IFERROR(ROUND(O20*' Indirect Non-prof Sal &amp; Fringe'!$M$42,0),""))</f>
        <v/>
      </c>
      <c r="Q20" s="186" t="str">
        <f>IF(ISBLANK(O20),"",IFERROR(ROUND(O20*'Direct and Indirect Expenses'!$K$20,0),""))</f>
        <v/>
      </c>
      <c r="R20" s="309">
        <f>IFERROR(SUMIF('Direct and Indirect Expenses'!$B$14:$B$34,'Financial Summary &amp; Stats'!B20,'Direct and Indirect Expenses'!$H$14:$H$34)*N20/SUMIF('Financial Summary &amp; Stats'!$B:$B,'Financial Summary &amp; Stats'!B20,'Financial Summary &amp; Stats'!$N:$N),0)</f>
        <v>0</v>
      </c>
      <c r="S20" s="595"/>
      <c r="T20" s="202">
        <f>IFERROR(IF('Direct and Indirect Expenses'!$A$9="Other Indirect Allocation Method",(ROUND((N20+P20)/($N$8+$P$8)*'Direct and Indirect Expenses'!$C$9,0)),ROUND((N20+P20)*'Direct and Indirect Expenses'!$B$9,0)),0)</f>
        <v>0</v>
      </c>
      <c r="U20" s="202">
        <f t="shared" si="7"/>
        <v>0</v>
      </c>
      <c r="V20" s="293" t="str">
        <f t="shared" si="8"/>
        <v/>
      </c>
      <c r="W20" s="51"/>
    </row>
    <row r="21" spans="1:25" ht="20.100000000000001" customHeight="1" x14ac:dyDescent="0.2">
      <c r="A21" s="116" t="s">
        <v>119</v>
      </c>
      <c r="B21" s="122" t="s">
        <v>126</v>
      </c>
      <c r="C21" s="122"/>
      <c r="D21" s="123" t="str">
        <f t="array" ref="D21">IFERROR(INDEX('Crosswalk '!$C$9:$C$94,MATCH(1,(B21='Crosswalk '!$B$9:$B$94)*(E21='Crosswalk '!$G$9:$G$94),0)),"")</f>
        <v/>
      </c>
      <c r="E21" s="159" t="str">
        <f t="array" ref="E21">IFERROR(INDEX('Crosswalk '!$E$106:$E$125,MATCH(1,($A$11='Crosswalk '!$D$106:$D$125)*($C21='Crosswalk '!$F$106:$F$125),0)),"")</f>
        <v/>
      </c>
      <c r="F21" s="484"/>
      <c r="G21" s="185"/>
      <c r="H21" s="159" t="str">
        <f t="array" ref="H21">IFERROR(INDEX('Crosswalk '!$E$9:$E$103,MATCH(1,($B21='Crosswalk '!$B$9:$B$103)*($E21='Crosswalk '!$G$9:$G$103),0)),"")</f>
        <v/>
      </c>
      <c r="I21" s="125">
        <f t="shared" si="1"/>
        <v>0</v>
      </c>
      <c r="J21" s="126" t="str">
        <f t="shared" si="2"/>
        <v/>
      </c>
      <c r="K21" s="127">
        <f t="shared" si="3"/>
        <v>0</v>
      </c>
      <c r="L21" s="295">
        <f t="shared" si="6"/>
        <v>0</v>
      </c>
      <c r="M21" s="295">
        <f t="shared" si="4"/>
        <v>0</v>
      </c>
      <c r="N21" s="186">
        <f t="shared" si="5"/>
        <v>0</v>
      </c>
      <c r="O21" s="201" t="str">
        <f>IFERROR(ROUND(N21/'Direct Prof Sal &amp; Fringes  '!$L$8,8),"")</f>
        <v/>
      </c>
      <c r="P21" s="186" t="str">
        <f>IF(ISBLANK(O21),"",IFERROR(ROUND(O21*' Indirect Non-prof Sal &amp; Fringe'!$M$42,0),""))</f>
        <v/>
      </c>
      <c r="Q21" s="186" t="str">
        <f>IF(ISBLANK(O21),"",IFERROR(ROUND(O21*'Direct and Indirect Expenses'!$K$20,0),""))</f>
        <v/>
      </c>
      <c r="R21" s="309">
        <f>IFERROR(SUMIF('Direct and Indirect Expenses'!$B$14:$B$34,'Financial Summary &amp; Stats'!B21,'Direct and Indirect Expenses'!$H$14:$H$34)*N21/SUMIF('Financial Summary &amp; Stats'!$B:$B,'Financial Summary &amp; Stats'!B21,'Financial Summary &amp; Stats'!$N:$N),0)</f>
        <v>0</v>
      </c>
      <c r="S21" s="595"/>
      <c r="T21" s="202">
        <f>IFERROR(IF('Direct and Indirect Expenses'!$A$9="Other Indirect Allocation Method",(ROUND((N21+P21)/($N$8+$P$8)*'Direct and Indirect Expenses'!$C$9,0)),ROUND((N21+P21)*'Direct and Indirect Expenses'!$B$9,0)),0)</f>
        <v>0</v>
      </c>
      <c r="U21" s="202">
        <f t="shared" si="7"/>
        <v>0</v>
      </c>
      <c r="V21" s="293" t="str">
        <f t="shared" si="8"/>
        <v/>
      </c>
      <c r="W21" s="187"/>
      <c r="Y21" s="128"/>
    </row>
    <row r="22" spans="1:25" ht="20.100000000000001" customHeight="1" x14ac:dyDescent="0.2">
      <c r="A22" s="116" t="s">
        <v>80</v>
      </c>
      <c r="B22" s="122" t="s">
        <v>81</v>
      </c>
      <c r="C22" s="122"/>
      <c r="D22" s="123" t="str">
        <f t="array" ref="D22">IFERROR(INDEX('Crosswalk '!$C$9:$C$94,MATCH(1,(B22='Crosswalk '!$B$9:$B$94)*(E22='Crosswalk '!$G$9:$G$94),0)),"")</f>
        <v/>
      </c>
      <c r="E22" s="159" t="str">
        <f t="array" ref="E22">IFERROR(INDEX('Crosswalk '!$E$106:$E$125,MATCH(1,($A$11='Crosswalk '!$D$106:$D$125)*($C22='Crosswalk '!$F$106:$F$125),0)),"")</f>
        <v/>
      </c>
      <c r="F22" s="484"/>
      <c r="G22" s="185"/>
      <c r="H22" s="159" t="str">
        <f t="array" ref="H22">IFERROR(INDEX('Crosswalk '!$E$9:$E$103,MATCH(1,($B22='Crosswalk '!$B$9:$B$103)*($E22='Crosswalk '!$G$9:$G$103),0)),"")</f>
        <v/>
      </c>
      <c r="I22" s="125">
        <f t="shared" si="1"/>
        <v>0</v>
      </c>
      <c r="J22" s="126" t="str">
        <f t="shared" si="2"/>
        <v/>
      </c>
      <c r="K22" s="127">
        <f t="shared" si="3"/>
        <v>0</v>
      </c>
      <c r="L22" s="295">
        <f t="shared" si="6"/>
        <v>0</v>
      </c>
      <c r="M22" s="295">
        <f t="shared" si="4"/>
        <v>0</v>
      </c>
      <c r="N22" s="186">
        <f t="shared" si="5"/>
        <v>0</v>
      </c>
      <c r="O22" s="201" t="str">
        <f>IFERROR(ROUND(N22/'Direct Prof Sal &amp; Fringes  '!$L$8,8),"")</f>
        <v/>
      </c>
      <c r="P22" s="186" t="str">
        <f>IF(ISBLANK(O22),"",IFERROR(ROUND(O22*' Indirect Non-prof Sal &amp; Fringe'!$M$42,0),""))</f>
        <v/>
      </c>
      <c r="Q22" s="186" t="str">
        <f>IF(ISBLANK(O22),"",IFERROR(ROUND(O22*'Direct and Indirect Expenses'!$K$20,0),""))</f>
        <v/>
      </c>
      <c r="R22" s="309">
        <f>IFERROR(SUMIF('Direct and Indirect Expenses'!$B$14:$B$34,'Financial Summary &amp; Stats'!B22,'Direct and Indirect Expenses'!$H$14:$H$34)*N22/SUMIF('Financial Summary &amp; Stats'!$B:$B,'Financial Summary &amp; Stats'!B22,'Financial Summary &amp; Stats'!$N:$N),0)</f>
        <v>0</v>
      </c>
      <c r="S22" s="595"/>
      <c r="T22" s="202">
        <f>IFERROR(IF('Direct and Indirect Expenses'!$A$9="Other Indirect Allocation Method",(ROUND((N22+P22)/($N$8+$P$8)*'Direct and Indirect Expenses'!$C$9,0)),ROUND((N22+P22)*'Direct and Indirect Expenses'!$B$9,0)),0)</f>
        <v>0</v>
      </c>
      <c r="U22" s="202">
        <f t="shared" si="7"/>
        <v>0</v>
      </c>
      <c r="V22" s="293" t="str">
        <f t="shared" si="8"/>
        <v/>
      </c>
      <c r="Y22" s="128"/>
    </row>
    <row r="23" spans="1:25" ht="20.100000000000001" customHeight="1" x14ac:dyDescent="0.2">
      <c r="A23" s="116" t="s">
        <v>111</v>
      </c>
      <c r="B23" s="122">
        <v>90846</v>
      </c>
      <c r="C23" s="122"/>
      <c r="D23" s="123" t="str">
        <f t="array" ref="D23">IFERROR(INDEX('Crosswalk '!$C$9:$C$94,MATCH(1,(B23='Crosswalk '!$B$9:$B$94)*(E23='Crosswalk '!$G$9:$G$94),0)),"")</f>
        <v/>
      </c>
      <c r="E23" s="159" t="str">
        <f t="array" ref="E23">IFERROR(INDEX('Crosswalk '!$E$106:$E$125,MATCH(1,($A$11='Crosswalk '!$D$106:$D$125)*($C23='Crosswalk '!$F$106:$F$125),0)),"")</f>
        <v/>
      </c>
      <c r="F23" s="484"/>
      <c r="G23" s="185"/>
      <c r="H23" s="159" t="str">
        <f t="array" ref="H23">IFERROR(INDEX('Crosswalk '!$E$9:$E$103,MATCH(1,($B23='Crosswalk '!$B$9:$B$103)*($E23='Crosswalk '!$G$9:$G$103),0)),"")</f>
        <v/>
      </c>
      <c r="I23" s="125">
        <f t="shared" si="1"/>
        <v>0</v>
      </c>
      <c r="J23" s="126" t="str">
        <f t="shared" si="2"/>
        <v/>
      </c>
      <c r="K23" s="127">
        <f t="shared" si="3"/>
        <v>0</v>
      </c>
      <c r="L23" s="295">
        <f t="shared" si="6"/>
        <v>0</v>
      </c>
      <c r="M23" s="295">
        <f t="shared" si="4"/>
        <v>0</v>
      </c>
      <c r="N23" s="186">
        <f t="shared" si="5"/>
        <v>0</v>
      </c>
      <c r="O23" s="201" t="str">
        <f>IFERROR(ROUND(N23/'Direct Prof Sal &amp; Fringes  '!$L$8,8),"")</f>
        <v/>
      </c>
      <c r="P23" s="186" t="str">
        <f>IF(ISBLANK(O23),"",IFERROR(ROUND(O23*' Indirect Non-prof Sal &amp; Fringe'!$M$42,0),""))</f>
        <v/>
      </c>
      <c r="Q23" s="186" t="str">
        <f>IF(ISBLANK(O23),"",IFERROR(ROUND(O23*'Direct and Indirect Expenses'!$K$20,0),""))</f>
        <v/>
      </c>
      <c r="R23" s="309">
        <f>IFERROR(SUMIF('Direct and Indirect Expenses'!$B$14:$B$34,'Financial Summary &amp; Stats'!B23,'Direct and Indirect Expenses'!$H$14:$H$34)*N23/SUMIF('Financial Summary &amp; Stats'!$B:$B,'Financial Summary &amp; Stats'!B23,'Financial Summary &amp; Stats'!$N:$N),0)</f>
        <v>0</v>
      </c>
      <c r="S23" s="595"/>
      <c r="T23" s="202">
        <f>IFERROR(IF('Direct and Indirect Expenses'!$A$9="Other Indirect Allocation Method",(ROUND((N23+P23)/($N$8+$P$8)*'Direct and Indirect Expenses'!$C$9,0)),ROUND((N23+P23)*'Direct and Indirect Expenses'!$B$9,0)),0)</f>
        <v>0</v>
      </c>
      <c r="U23" s="202">
        <f t="shared" si="7"/>
        <v>0</v>
      </c>
      <c r="V23" s="293" t="str">
        <f t="shared" si="8"/>
        <v/>
      </c>
      <c r="Y23" s="128"/>
    </row>
    <row r="24" spans="1:25" ht="20.100000000000001" customHeight="1" x14ac:dyDescent="0.2">
      <c r="A24" s="116" t="s">
        <v>112</v>
      </c>
      <c r="B24" s="122">
        <v>90847</v>
      </c>
      <c r="C24" s="122"/>
      <c r="D24" s="123" t="str">
        <f t="array" ref="D24">IFERROR(INDEX('Crosswalk '!$C$9:$C$94,MATCH(1,(B24='Crosswalk '!$B$9:$B$94)*(E24='Crosswalk '!$G$9:$G$94),0)),"")</f>
        <v/>
      </c>
      <c r="E24" s="159" t="str">
        <f t="array" ref="E24">IFERROR(INDEX('Crosswalk '!$E$106:$E$125,MATCH(1,($A$11='Crosswalk '!$D$106:$D$125)*($C24='Crosswalk '!$F$106:$F$125),0)),"")</f>
        <v/>
      </c>
      <c r="F24" s="484"/>
      <c r="G24" s="185"/>
      <c r="H24" s="159" t="str">
        <f t="array" ref="H24">IFERROR(INDEX('Crosswalk '!$E$9:$E$103,MATCH(1,($B24='Crosswalk '!$B$9:$B$103)*($E24='Crosswalk '!$G$9:$G$103),0)),"")</f>
        <v/>
      </c>
      <c r="I24" s="125">
        <f t="shared" si="1"/>
        <v>0</v>
      </c>
      <c r="J24" s="126" t="str">
        <f t="shared" si="2"/>
        <v/>
      </c>
      <c r="K24" s="127">
        <f t="shared" si="3"/>
        <v>0</v>
      </c>
      <c r="L24" s="295">
        <f t="shared" si="6"/>
        <v>0</v>
      </c>
      <c r="M24" s="295">
        <f t="shared" si="4"/>
        <v>0</v>
      </c>
      <c r="N24" s="186">
        <f t="shared" si="5"/>
        <v>0</v>
      </c>
      <c r="O24" s="201" t="str">
        <f>IFERROR(ROUND(N24/'Direct Prof Sal &amp; Fringes  '!$L$8,8),"")</f>
        <v/>
      </c>
      <c r="P24" s="186" t="str">
        <f>IF(ISBLANK(O24),"",IFERROR(ROUND(O24*' Indirect Non-prof Sal &amp; Fringe'!$M$42,0),""))</f>
        <v/>
      </c>
      <c r="Q24" s="186" t="str">
        <f>IF(ISBLANK(O24),"",IFERROR(ROUND(O24*'Direct and Indirect Expenses'!$K$20,0),""))</f>
        <v/>
      </c>
      <c r="R24" s="309">
        <f>IFERROR(SUMIF('Direct and Indirect Expenses'!$B$14:$B$34,'Financial Summary &amp; Stats'!B24,'Direct and Indirect Expenses'!$H$14:$H$34)*N24/SUMIF('Financial Summary &amp; Stats'!$B:$B,'Financial Summary &amp; Stats'!B24,'Financial Summary &amp; Stats'!$N:$N),0)</f>
        <v>0</v>
      </c>
      <c r="S24" s="595"/>
      <c r="T24" s="202">
        <f>IFERROR(IF('Direct and Indirect Expenses'!$A$9="Other Indirect Allocation Method",(ROUND((N24+P24)/($N$8+$P$8)*'Direct and Indirect Expenses'!$C$9,0)),ROUND((N24+P24)*'Direct and Indirect Expenses'!$B$9,0)),0)</f>
        <v>0</v>
      </c>
      <c r="U24" s="202">
        <f t="shared" si="7"/>
        <v>0</v>
      </c>
      <c r="V24" s="293" t="str">
        <f t="shared" si="8"/>
        <v/>
      </c>
      <c r="Y24" s="128"/>
    </row>
    <row r="25" spans="1:25" ht="20.100000000000001" customHeight="1" x14ac:dyDescent="0.2">
      <c r="A25" s="116" t="s">
        <v>72</v>
      </c>
      <c r="B25" s="122">
        <v>90853</v>
      </c>
      <c r="C25" s="122"/>
      <c r="D25" s="123" t="str">
        <f t="array" ref="D25">IFERROR(INDEX('Crosswalk '!$C$9:$C$94,MATCH(1,(B25='Crosswalk '!$B$9:$B$94)*(E25='Crosswalk '!$G$9:$G$94),0)),"")</f>
        <v/>
      </c>
      <c r="E25" s="159" t="str">
        <f t="array" ref="E25">IFERROR(INDEX('Crosswalk '!$E$106:$E$125,MATCH(1,($A$11='Crosswalk '!$D$106:$D$125)*($C25='Crosswalk '!$F$106:$F$125),0)),"")</f>
        <v/>
      </c>
      <c r="F25" s="484"/>
      <c r="G25" s="486"/>
      <c r="H25" s="159" t="str">
        <f t="array" ref="H25">IFERROR(INDEX('Crosswalk '!$E$9:$E$103,MATCH(1,($B25='Crosswalk '!$B$9:$B$103)*($E25='Crosswalk '!$G$9:$G$103),0)),"")</f>
        <v/>
      </c>
      <c r="I25" s="166"/>
      <c r="J25" s="126" t="str">
        <f>IF(ISTEXT(H25),"",IFERROR(ROUND(I25+G25,2),""))</f>
        <v/>
      </c>
      <c r="K25" s="127">
        <f t="shared" si="3"/>
        <v>0</v>
      </c>
      <c r="L25" s="295">
        <f t="shared" si="6"/>
        <v>0</v>
      </c>
      <c r="M25" s="295">
        <f t="shared" si="4"/>
        <v>0</v>
      </c>
      <c r="N25" s="186">
        <f t="shared" si="5"/>
        <v>0</v>
      </c>
      <c r="O25" s="201" t="str">
        <f>IFERROR(ROUND(N25/'Direct Prof Sal &amp; Fringes  '!$L$8,8),"")</f>
        <v/>
      </c>
      <c r="P25" s="186" t="str">
        <f>IF(ISBLANK(O25),"",IFERROR(ROUND(O25*' Indirect Non-prof Sal &amp; Fringe'!$M$42,0),""))</f>
        <v/>
      </c>
      <c r="Q25" s="186" t="str">
        <f>IF(ISBLANK(O25),"",IFERROR(ROUND(O25*'Direct and Indirect Expenses'!$K$20,0),""))</f>
        <v/>
      </c>
      <c r="R25" s="309">
        <f>IFERROR(SUMIF('Direct and Indirect Expenses'!$B$14:$B$34,'Financial Summary &amp; Stats'!B25,'Direct and Indirect Expenses'!$H$14:$H$34)*N25/SUMIF('Financial Summary &amp; Stats'!$B:$B,'Financial Summary &amp; Stats'!B25,'Financial Summary &amp; Stats'!$N:$N),0)</f>
        <v>0</v>
      </c>
      <c r="S25" s="595"/>
      <c r="T25" s="202">
        <f>IFERROR(IF('Direct and Indirect Expenses'!$A$9="Other Indirect Allocation Method",(ROUND((N25+P25)/($N$8+$P$8)*'Direct and Indirect Expenses'!$C$9,0)),ROUND((N25+P25)*'Direct and Indirect Expenses'!$B$9,0)),0)</f>
        <v>0</v>
      </c>
      <c r="U25" s="202">
        <f t="shared" si="7"/>
        <v>0</v>
      </c>
      <c r="V25" s="293" t="str">
        <f t="shared" si="8"/>
        <v/>
      </c>
      <c r="Y25" s="128"/>
    </row>
    <row r="26" spans="1:25" ht="20.100000000000001" customHeight="1" x14ac:dyDescent="0.2">
      <c r="A26" s="116" t="s">
        <v>127</v>
      </c>
      <c r="B26" s="122">
        <v>90832</v>
      </c>
      <c r="C26" s="122"/>
      <c r="D26" s="123" t="str">
        <f t="array" ref="D26">IFERROR(INDEX('Crosswalk '!$C$9:$C$94,MATCH(1,(B26='Crosswalk '!$B$9:$B$94)*(E26='Crosswalk '!$G$9:$G$94),0)),"")</f>
        <v/>
      </c>
      <c r="E26" s="159" t="str">
        <f t="array" ref="E26">IFERROR(INDEX('Crosswalk '!$E$106:$E$125,MATCH(1,($A$11='Crosswalk '!$D$106:$D$125)*($C26='Crosswalk '!$F$106:$F$125),0)),"")</f>
        <v/>
      </c>
      <c r="F26" s="484"/>
      <c r="G26" s="181"/>
      <c r="H26" s="159" t="str">
        <f t="array" ref="H26">IFERROR(INDEX('Crosswalk '!$E$9:$E$103,MATCH(1,($B26='Crosswalk '!$B$9:$B$103)*($E26='Crosswalk '!$G$9:$G$103),0)),"")</f>
        <v/>
      </c>
      <c r="I26" s="125">
        <f t="shared" si="1"/>
        <v>0</v>
      </c>
      <c r="J26" s="126" t="str">
        <f t="shared" ref="J26:J39" si="9">IF(ISTEXT(H26),"",IFERROR(ROUND(I26+G26,2),""))</f>
        <v/>
      </c>
      <c r="K26" s="127">
        <f t="shared" si="3"/>
        <v>0</v>
      </c>
      <c r="L26" s="295">
        <f t="shared" si="6"/>
        <v>0</v>
      </c>
      <c r="M26" s="295">
        <f t="shared" si="4"/>
        <v>0</v>
      </c>
      <c r="N26" s="186">
        <f t="shared" si="5"/>
        <v>0</v>
      </c>
      <c r="O26" s="201" t="str">
        <f>IFERROR(ROUND(N26/'Direct Prof Sal &amp; Fringes  '!$L$8,8),"")</f>
        <v/>
      </c>
      <c r="P26" s="186" t="str">
        <f>IF(ISBLANK(O26),"",IFERROR(ROUND(O26*' Indirect Non-prof Sal &amp; Fringe'!$M$42,0),""))</f>
        <v/>
      </c>
      <c r="Q26" s="186" t="str">
        <f>IF(ISBLANK(O26),"",IFERROR(ROUND(O26*'Direct and Indirect Expenses'!$K$20,0),""))</f>
        <v/>
      </c>
      <c r="R26" s="309">
        <f>IFERROR(SUMIF('Direct and Indirect Expenses'!$B$14:$B$34,'Financial Summary &amp; Stats'!B26,'Direct and Indirect Expenses'!$H$14:$H$34)*N26/SUMIF('Financial Summary &amp; Stats'!$B:$B,'Financial Summary &amp; Stats'!B26,'Financial Summary &amp; Stats'!$N:$N),0)</f>
        <v>0</v>
      </c>
      <c r="S26" s="595"/>
      <c r="T26" s="202">
        <f>IFERROR(IF('Direct and Indirect Expenses'!$A$9="Other Indirect Allocation Method",(ROUND((N26+P26)/($N$8+$P$8)*'Direct and Indirect Expenses'!$C$9,0)),ROUND((N26+P26)*'Direct and Indirect Expenses'!$B$9,0)),0)</f>
        <v>0</v>
      </c>
      <c r="U26" s="202">
        <f t="shared" si="7"/>
        <v>0</v>
      </c>
      <c r="V26" s="293" t="str">
        <f t="shared" si="8"/>
        <v/>
      </c>
      <c r="Y26" s="128"/>
    </row>
    <row r="27" spans="1:25" ht="20.100000000000001" customHeight="1" x14ac:dyDescent="0.2">
      <c r="A27" s="116" t="s">
        <v>128</v>
      </c>
      <c r="B27" s="122">
        <v>90834</v>
      </c>
      <c r="C27" s="122"/>
      <c r="D27" s="123" t="str">
        <f t="array" ref="D27">IFERROR(INDEX('Crosswalk '!$C$9:$C$94,MATCH(1,(B27='Crosswalk '!$B$9:$B$94)*(E27='Crosswalk '!$G$9:$G$94),0)),"")</f>
        <v/>
      </c>
      <c r="E27" s="159" t="str">
        <f t="array" ref="E27">IFERROR(INDEX('Crosswalk '!$E$106:$E$125,MATCH(1,($A$11='Crosswalk '!$D$106:$D$125)*($C27='Crosswalk '!$F$106:$F$125),0)),"")</f>
        <v/>
      </c>
      <c r="F27" s="484"/>
      <c r="G27" s="181"/>
      <c r="H27" s="159" t="str">
        <f t="array" ref="H27">IFERROR(INDEX('Crosswalk '!$E$9:$E$103,MATCH(1,($B27='Crosswalk '!$B$9:$B$103)*($E27='Crosswalk '!$G$9:$G$103),0)),"")</f>
        <v/>
      </c>
      <c r="I27" s="125">
        <f t="shared" si="1"/>
        <v>0</v>
      </c>
      <c r="J27" s="126" t="str">
        <f t="shared" si="9"/>
        <v/>
      </c>
      <c r="K27" s="127">
        <f t="shared" si="3"/>
        <v>0</v>
      </c>
      <c r="L27" s="295">
        <f t="shared" si="6"/>
        <v>0</v>
      </c>
      <c r="M27" s="295">
        <f t="shared" si="4"/>
        <v>0</v>
      </c>
      <c r="N27" s="186">
        <f t="shared" si="5"/>
        <v>0</v>
      </c>
      <c r="O27" s="201" t="str">
        <f>IFERROR(ROUND(N27/'Direct Prof Sal &amp; Fringes  '!$L$8,8),"")</f>
        <v/>
      </c>
      <c r="P27" s="186" t="str">
        <f>IF(ISBLANK(O27),"",IFERROR(ROUND(O27*' Indirect Non-prof Sal &amp; Fringe'!$M$42,0),""))</f>
        <v/>
      </c>
      <c r="Q27" s="186" t="str">
        <f>IF(ISBLANK(O27),"",IFERROR(ROUND(O27*'Direct and Indirect Expenses'!$K$20,0),""))</f>
        <v/>
      </c>
      <c r="R27" s="309">
        <f>IFERROR(SUMIF('Direct and Indirect Expenses'!$B$14:$B$34,'Financial Summary &amp; Stats'!B27,'Direct and Indirect Expenses'!$H$14:$H$34)*N27/SUMIF('Financial Summary &amp; Stats'!$B:$B,'Financial Summary &amp; Stats'!B27,'Financial Summary &amp; Stats'!$N:$N),0)</f>
        <v>0</v>
      </c>
      <c r="S27" s="595"/>
      <c r="T27" s="202">
        <f>IFERROR(IF('Direct and Indirect Expenses'!$A$9="Other Indirect Allocation Method",(ROUND((N27+P27)/($N$8+$P$8)*'Direct and Indirect Expenses'!$C$9,0)),ROUND((N27+P27)*'Direct and Indirect Expenses'!$B$9,0)),0)</f>
        <v>0</v>
      </c>
      <c r="U27" s="202">
        <f t="shared" si="7"/>
        <v>0</v>
      </c>
      <c r="V27" s="293" t="str">
        <f t="shared" si="8"/>
        <v/>
      </c>
      <c r="Y27" s="128"/>
    </row>
    <row r="28" spans="1:25" ht="20.100000000000001" customHeight="1" x14ac:dyDescent="0.2">
      <c r="A28" s="116" t="s">
        <v>129</v>
      </c>
      <c r="B28" s="122">
        <v>90837</v>
      </c>
      <c r="C28" s="122"/>
      <c r="D28" s="123" t="str">
        <f t="array" ref="D28">IFERROR(INDEX('Crosswalk '!$C$9:$C$94,MATCH(1,(B28='Crosswalk '!$B$9:$B$94)*(E28='Crosswalk '!$G$9:$G$94),0)),"")</f>
        <v/>
      </c>
      <c r="E28" s="159" t="str">
        <f t="array" ref="E28">IFERROR(INDEX('Crosswalk '!$E$106:$E$125,MATCH(1,($A$11='Crosswalk '!$D$106:$D$125)*($C28='Crosswalk '!$F$106:$F$125),0)),"")</f>
        <v/>
      </c>
      <c r="F28" s="484"/>
      <c r="G28" s="181"/>
      <c r="H28" s="159" t="str">
        <f t="array" ref="H28">IFERROR(INDEX('Crosswalk '!$E$9:$E$103,MATCH(1,($B28='Crosswalk '!$B$9:$B$103)*($E28='Crosswalk '!$G$9:$G$103),0)),"")</f>
        <v/>
      </c>
      <c r="I28" s="125">
        <f t="shared" si="1"/>
        <v>0</v>
      </c>
      <c r="J28" s="126" t="str">
        <f t="shared" si="9"/>
        <v/>
      </c>
      <c r="K28" s="127">
        <f t="shared" si="3"/>
        <v>0</v>
      </c>
      <c r="L28" s="295">
        <f t="shared" si="6"/>
        <v>0</v>
      </c>
      <c r="M28" s="295">
        <f t="shared" si="4"/>
        <v>0</v>
      </c>
      <c r="N28" s="186">
        <f t="shared" si="5"/>
        <v>0</v>
      </c>
      <c r="O28" s="201" t="str">
        <f>IFERROR(ROUND(N28/'Direct Prof Sal &amp; Fringes  '!$L$8,8),"")</f>
        <v/>
      </c>
      <c r="P28" s="186" t="str">
        <f>IF(ISBLANK(O28),"",IFERROR(ROUND(O28*' Indirect Non-prof Sal &amp; Fringe'!$M$42,0),""))</f>
        <v/>
      </c>
      <c r="Q28" s="186" t="str">
        <f>IF(ISBLANK(O28),"",IFERROR(ROUND(O28*'Direct and Indirect Expenses'!$K$20,0),""))</f>
        <v/>
      </c>
      <c r="R28" s="309">
        <f>IFERROR(SUMIF('Direct and Indirect Expenses'!$B$14:$B$34,'Financial Summary &amp; Stats'!B28,'Direct and Indirect Expenses'!$H$14:$H$34)*N28/SUMIF('Financial Summary &amp; Stats'!$B:$B,'Financial Summary &amp; Stats'!B28,'Financial Summary &amp; Stats'!$N:$N),0)</f>
        <v>0</v>
      </c>
      <c r="S28" s="595"/>
      <c r="T28" s="202">
        <f>IFERROR(IF('Direct and Indirect Expenses'!$A$9="Other Indirect Allocation Method",(ROUND((N28+P28)/($N$8+$P$8)*'Direct and Indirect Expenses'!$C$9,0)),ROUND((N28+P28)*'Direct and Indirect Expenses'!$B$9,0)),0)</f>
        <v>0</v>
      </c>
      <c r="U28" s="202">
        <f t="shared" si="7"/>
        <v>0</v>
      </c>
      <c r="V28" s="293" t="str">
        <f t="shared" si="8"/>
        <v/>
      </c>
      <c r="Y28" s="128"/>
    </row>
    <row r="29" spans="1:25" ht="20.100000000000001" customHeight="1" x14ac:dyDescent="0.2">
      <c r="A29" s="116" t="s">
        <v>114</v>
      </c>
      <c r="B29" s="122" t="s">
        <v>113</v>
      </c>
      <c r="C29" s="122"/>
      <c r="D29" s="123" t="str">
        <f t="array" ref="D29">IFERROR(INDEX('Crosswalk '!$C$9:$C$94,MATCH(1,(B29='Crosswalk '!$B$9:$B$94)*(E29='Crosswalk '!$G$9:$G$94),0)),"")</f>
        <v/>
      </c>
      <c r="E29" s="159" t="str">
        <f t="array" ref="E29">IFERROR(INDEX('Crosswalk '!$E$106:$E$125,MATCH(1,($A$11='Crosswalk '!$D$106:$D$125)*($C29='Crosswalk '!$F$106:$F$125),0)),"")</f>
        <v/>
      </c>
      <c r="F29" s="484"/>
      <c r="G29" s="181"/>
      <c r="H29" s="159" t="str">
        <f t="array" ref="H29">IFERROR(INDEX('Crosswalk '!$E$9:$E$103,MATCH(1,($B29='Crosswalk '!$B$9:$B$103)*($E29='Crosswalk '!$G$9:$G$103),0)),"")</f>
        <v/>
      </c>
      <c r="I29" s="125">
        <f t="shared" si="1"/>
        <v>0</v>
      </c>
      <c r="J29" s="126" t="str">
        <f t="shared" si="9"/>
        <v/>
      </c>
      <c r="K29" s="127">
        <f t="shared" si="3"/>
        <v>0</v>
      </c>
      <c r="L29" s="295">
        <f t="shared" si="6"/>
        <v>0</v>
      </c>
      <c r="M29" s="295">
        <f t="shared" si="4"/>
        <v>0</v>
      </c>
      <c r="N29" s="186">
        <f t="shared" si="5"/>
        <v>0</v>
      </c>
      <c r="O29" s="201" t="str">
        <f>IFERROR(ROUND(N29/'Direct Prof Sal &amp; Fringes  '!$L$8,8),"")</f>
        <v/>
      </c>
      <c r="P29" s="186" t="str">
        <f>IF(ISBLANK(O29),"",IFERROR(ROUND(O29*' Indirect Non-prof Sal &amp; Fringe'!$M$42,0),""))</f>
        <v/>
      </c>
      <c r="Q29" s="186" t="str">
        <f>IF(ISBLANK(O29),"",IFERROR(ROUND(O29*'Direct and Indirect Expenses'!$K$20,0),""))</f>
        <v/>
      </c>
      <c r="R29" s="309">
        <f>IFERROR(SUMIF('Direct and Indirect Expenses'!$B$14:$B$34,'Financial Summary &amp; Stats'!B29,'Direct and Indirect Expenses'!$H$14:$H$34)*N29/SUMIF('Financial Summary &amp; Stats'!$B:$B,'Financial Summary &amp; Stats'!B29,'Financial Summary &amp; Stats'!$N:$N),0)</f>
        <v>0</v>
      </c>
      <c r="S29" s="595"/>
      <c r="T29" s="202">
        <f>IFERROR(IF('Direct and Indirect Expenses'!$A$9="Other Indirect Allocation Method",(ROUND((N29+P29)/($N$8+$P$8)*'Direct and Indirect Expenses'!$C$9,0)),ROUND((N29+P29)*'Direct and Indirect Expenses'!$B$9,0)),0)</f>
        <v>0</v>
      </c>
      <c r="U29" s="202">
        <f t="shared" si="7"/>
        <v>0</v>
      </c>
      <c r="V29" s="293" t="str">
        <f t="shared" si="8"/>
        <v/>
      </c>
      <c r="Y29" s="128"/>
    </row>
    <row r="30" spans="1:25" ht="20.100000000000001" customHeight="1" x14ac:dyDescent="0.2">
      <c r="A30" s="116" t="s">
        <v>130</v>
      </c>
      <c r="B30" s="122">
        <v>90849</v>
      </c>
      <c r="C30" s="122"/>
      <c r="D30" s="123" t="str">
        <f t="array" ref="D30">IFERROR(INDEX('Crosswalk '!$C$9:$C$94,MATCH(1,(B30='Crosswalk '!$B$9:$B$94)*(E30='Crosswalk '!$G$9:$G$94),0)),"")</f>
        <v/>
      </c>
      <c r="E30" s="159" t="str">
        <f t="array" ref="E30">IFERROR(INDEX('Crosswalk '!$E$106:$E$125,MATCH(1,($A$11='Crosswalk '!$D$106:$D$125)*($C30='Crosswalk '!$F$106:$F$125),0)),"")</f>
        <v/>
      </c>
      <c r="F30" s="484"/>
      <c r="G30" s="181"/>
      <c r="H30" s="159" t="str">
        <f t="array" ref="H30">IFERROR(INDEX('Crosswalk '!$E$9:$E$103,MATCH(1,($B30='Crosswalk '!$B$9:$B$103)*($E30='Crosswalk '!$G$9:$G$103),0)),"")</f>
        <v/>
      </c>
      <c r="I30" s="125">
        <f t="shared" si="1"/>
        <v>0</v>
      </c>
      <c r="J30" s="126" t="str">
        <f t="shared" si="9"/>
        <v/>
      </c>
      <c r="K30" s="127">
        <f t="shared" si="3"/>
        <v>0</v>
      </c>
      <c r="L30" s="295">
        <f t="shared" si="6"/>
        <v>0</v>
      </c>
      <c r="M30" s="295">
        <f t="shared" si="4"/>
        <v>0</v>
      </c>
      <c r="N30" s="186">
        <f t="shared" si="5"/>
        <v>0</v>
      </c>
      <c r="O30" s="201" t="str">
        <f>IFERROR(ROUND(N30/'Direct Prof Sal &amp; Fringes  '!$L$8,8),"")</f>
        <v/>
      </c>
      <c r="P30" s="186" t="str">
        <f>IF(ISBLANK(O30),"",IFERROR(ROUND(O30*' Indirect Non-prof Sal &amp; Fringe'!$M$42,0),""))</f>
        <v/>
      </c>
      <c r="Q30" s="186" t="str">
        <f>IF(ISBLANK(O30),"",IFERROR(ROUND(O30*'Direct and Indirect Expenses'!$K$20,0),""))</f>
        <v/>
      </c>
      <c r="R30" s="309">
        <f>IFERROR(SUMIF('Direct and Indirect Expenses'!$B$14:$B$34,'Financial Summary &amp; Stats'!B30,'Direct and Indirect Expenses'!$H$14:$H$34)*N30/SUMIF('Financial Summary &amp; Stats'!$B:$B,'Financial Summary &amp; Stats'!B30,'Financial Summary &amp; Stats'!$N:$N),0)</f>
        <v>0</v>
      </c>
      <c r="S30" s="595"/>
      <c r="T30" s="202">
        <f>IFERROR(IF('Direct and Indirect Expenses'!$A$9="Other Indirect Allocation Method",(ROUND((N30+P30)/($N$8+$P$8)*'Direct and Indirect Expenses'!$C$9,0)),ROUND((N30+P30)*'Direct and Indirect Expenses'!$B$9,0)),0)</f>
        <v>0</v>
      </c>
      <c r="U30" s="202">
        <f t="shared" si="7"/>
        <v>0</v>
      </c>
      <c r="V30" s="293" t="str">
        <f t="shared" si="8"/>
        <v/>
      </c>
      <c r="Y30" s="128"/>
    </row>
    <row r="31" spans="1:25" ht="20.100000000000001" customHeight="1" x14ac:dyDescent="0.2">
      <c r="A31" s="116" t="s">
        <v>83</v>
      </c>
      <c r="B31" s="122" t="s">
        <v>84</v>
      </c>
      <c r="C31" s="122"/>
      <c r="D31" s="123">
        <f t="array" ref="D31">IFERROR(INDEX('Crosswalk '!$C$9:$C$94,MATCH(1,(B31='Crosswalk '!$B$9:$B$94)*(E31='Crosswalk '!$G$9:$G$94),0)),"")</f>
        <v>0</v>
      </c>
      <c r="E31" s="159" t="str">
        <f t="array" ref="E31">IFERROR(INDEX('Crosswalk '!$E$106:$E$125,MATCH(1,($A$11='Crosswalk '!$D$106:$D$125)*($C31='Crosswalk '!$F$106:$F$125),0)),"")</f>
        <v/>
      </c>
      <c r="F31" s="484"/>
      <c r="G31" s="181"/>
      <c r="H31" s="159">
        <f t="array" ref="H31">IFERROR(INDEX('Crosswalk '!$E$9:$E$103,MATCH(1,($B31='Crosswalk '!$B$9:$B$103)*($E31='Crosswalk '!$G$9:$G$103),0)),"")</f>
        <v>0.25</v>
      </c>
      <c r="I31" s="125">
        <f t="shared" si="1"/>
        <v>0</v>
      </c>
      <c r="J31" s="126">
        <f t="shared" si="9"/>
        <v>0</v>
      </c>
      <c r="K31" s="127">
        <f t="shared" si="3"/>
        <v>0</v>
      </c>
      <c r="L31" s="295">
        <f t="shared" si="6"/>
        <v>0</v>
      </c>
      <c r="M31" s="295">
        <f t="shared" si="4"/>
        <v>0</v>
      </c>
      <c r="N31" s="186">
        <f t="shared" si="5"/>
        <v>0</v>
      </c>
      <c r="O31" s="201" t="str">
        <f>IFERROR(ROUND(N31/'Direct Prof Sal &amp; Fringes  '!$L$8,8),"")</f>
        <v/>
      </c>
      <c r="P31" s="186" t="str">
        <f>IF(ISBLANK(O31),"",IFERROR(ROUND(O31*' Indirect Non-prof Sal &amp; Fringe'!$M$42,0),""))</f>
        <v/>
      </c>
      <c r="Q31" s="186" t="str">
        <f>IF(ISBLANK(O31),"",IFERROR(ROUND(O31*'Direct and Indirect Expenses'!$K$20,0),""))</f>
        <v/>
      </c>
      <c r="R31" s="309">
        <f>IFERROR(SUMIF('Direct and Indirect Expenses'!$B$14:$B$34,'Financial Summary &amp; Stats'!B31,'Direct and Indirect Expenses'!$H$14:$H$34)*N31/SUMIF('Financial Summary &amp; Stats'!$B:$B,'Financial Summary &amp; Stats'!B31,'Financial Summary &amp; Stats'!$N:$N),0)</f>
        <v>0</v>
      </c>
      <c r="S31" s="595"/>
      <c r="T31" s="202">
        <f>IFERROR(IF('Direct and Indirect Expenses'!$A$9="Other Indirect Allocation Method",(ROUND((N31+P31)/($N$8+$P$8)*'Direct and Indirect Expenses'!$C$9,0)),ROUND((N31+P31)*'Direct and Indirect Expenses'!$B$9,0)),0)</f>
        <v>0</v>
      </c>
      <c r="U31" s="202">
        <f t="shared" si="7"/>
        <v>0</v>
      </c>
      <c r="V31" s="293" t="str">
        <f t="shared" si="8"/>
        <v/>
      </c>
      <c r="Y31" s="128"/>
    </row>
    <row r="32" spans="1:25" ht="20.100000000000001" customHeight="1" x14ac:dyDescent="0.2">
      <c r="A32" s="116" t="s">
        <v>132</v>
      </c>
      <c r="B32" s="122">
        <v>90792</v>
      </c>
      <c r="C32" s="122"/>
      <c r="D32" s="123" t="str">
        <f t="array" ref="D32">IFERROR(INDEX('Crosswalk '!$C$9:$C$94,MATCH(1,(B32='Crosswalk '!$B$9:$B$94)*(E32='Crosswalk '!$G$9:$G$94),0)),"")</f>
        <v/>
      </c>
      <c r="E32" s="159" t="str">
        <f t="array" ref="E32">IFERROR(INDEX('Crosswalk '!$E$106:$E$125,MATCH(1,($A$11='Crosswalk '!$D$106:$D$125)*($C32='Crosswalk '!$F$106:$F$125),0)),"")</f>
        <v/>
      </c>
      <c r="F32" s="484"/>
      <c r="G32" s="181"/>
      <c r="H32" s="159" t="str">
        <f t="array" ref="H32">IFERROR(INDEX('Crosswalk '!$E$9:$E$103,MATCH(1,($B32='Crosswalk '!$B$9:$B$103)*($E32='Crosswalk '!$G$9:$G$103),0)),"")</f>
        <v/>
      </c>
      <c r="I32" s="125">
        <f t="shared" si="1"/>
        <v>0</v>
      </c>
      <c r="J32" s="126" t="str">
        <f t="shared" si="9"/>
        <v/>
      </c>
      <c r="K32" s="127">
        <f t="shared" si="3"/>
        <v>0</v>
      </c>
      <c r="L32" s="295">
        <f t="shared" si="6"/>
        <v>0</v>
      </c>
      <c r="M32" s="295">
        <f t="shared" si="4"/>
        <v>0</v>
      </c>
      <c r="N32" s="186">
        <f t="shared" si="5"/>
        <v>0</v>
      </c>
      <c r="O32" s="201" t="str">
        <f>IFERROR(ROUND(N32/'Direct Prof Sal &amp; Fringes  '!$L$8,8),"")</f>
        <v/>
      </c>
      <c r="P32" s="186" t="str">
        <f>IF(ISBLANK(O32),"",IFERROR(ROUND(O32*' Indirect Non-prof Sal &amp; Fringe'!$M$42,0),""))</f>
        <v/>
      </c>
      <c r="Q32" s="186" t="str">
        <f>IF(ISBLANK(O32),"",IFERROR(ROUND(O32*'Direct and Indirect Expenses'!$K$20,0),""))</f>
        <v/>
      </c>
      <c r="R32" s="309">
        <f>IFERROR(SUMIF('Direct and Indirect Expenses'!$B$14:$B$34,'Financial Summary &amp; Stats'!B32,'Direct and Indirect Expenses'!$H$14:$H$34)*N32/SUMIF('Financial Summary &amp; Stats'!$B:$B,'Financial Summary &amp; Stats'!B32,'Financial Summary &amp; Stats'!$N:$N),0)</f>
        <v>0</v>
      </c>
      <c r="S32" s="595"/>
      <c r="T32" s="202">
        <f>IFERROR(IF('Direct and Indirect Expenses'!$A$9="Other Indirect Allocation Method",(ROUND((N32+P32)/($N$8+$P$8)*'Direct and Indirect Expenses'!$C$9,0)),ROUND((N32+P32)*'Direct and Indirect Expenses'!$B$9,0)),0)</f>
        <v>0</v>
      </c>
      <c r="U32" s="202">
        <f t="shared" si="7"/>
        <v>0</v>
      </c>
      <c r="V32" s="293" t="str">
        <f t="shared" si="8"/>
        <v/>
      </c>
      <c r="Y32" s="128"/>
    </row>
    <row r="33" spans="1:25" ht="20.100000000000001" customHeight="1" x14ac:dyDescent="0.2">
      <c r="A33" s="116" t="s">
        <v>131</v>
      </c>
      <c r="B33" s="122">
        <v>90791</v>
      </c>
      <c r="C33" s="122"/>
      <c r="D33" s="123" t="str">
        <f t="array" ref="D33">IFERROR(INDEX('Crosswalk '!$C$9:$C$94,MATCH(1,(B33='Crosswalk '!$B$9:$B$94)*(E33='Crosswalk '!$G$9:$G$94),0)),"")</f>
        <v/>
      </c>
      <c r="E33" s="159" t="str">
        <f t="array" ref="E33">IFERROR(INDEX('Crosswalk '!$E$106:$E$125,MATCH(1,($A$11='Crosswalk '!$D$106:$D$125)*($C33='Crosswalk '!$F$106:$F$125),0)),"")</f>
        <v/>
      </c>
      <c r="F33" s="484"/>
      <c r="G33" s="181"/>
      <c r="H33" s="159" t="str">
        <f t="array" ref="H33">IFERROR(INDEX('Crosswalk '!$E$9:$E$103,MATCH(1,($B33='Crosswalk '!$B$9:$B$103)*($E33='Crosswalk '!$G$9:$G$103),0)),"")</f>
        <v/>
      </c>
      <c r="I33" s="125">
        <f t="shared" si="1"/>
        <v>0</v>
      </c>
      <c r="J33" s="126" t="str">
        <f t="shared" si="9"/>
        <v/>
      </c>
      <c r="K33" s="127">
        <f t="shared" si="3"/>
        <v>0</v>
      </c>
      <c r="L33" s="295">
        <f t="shared" si="6"/>
        <v>0</v>
      </c>
      <c r="M33" s="295">
        <f t="shared" si="4"/>
        <v>0</v>
      </c>
      <c r="N33" s="186">
        <f t="shared" si="5"/>
        <v>0</v>
      </c>
      <c r="O33" s="201" t="str">
        <f>IFERROR(ROUND(N33/'Direct Prof Sal &amp; Fringes  '!$L$8,8),"")</f>
        <v/>
      </c>
      <c r="P33" s="186" t="str">
        <f>IF(ISBLANK(O33),"",IFERROR(ROUND(O33*' Indirect Non-prof Sal &amp; Fringe'!$M$42,0),""))</f>
        <v/>
      </c>
      <c r="Q33" s="186" t="str">
        <f>IF(ISBLANK(O33),"",IFERROR(ROUND(O33*'Direct and Indirect Expenses'!$K$20,0),""))</f>
        <v/>
      </c>
      <c r="R33" s="309">
        <f>IFERROR(SUMIF('Direct and Indirect Expenses'!$B$14:$B$34,'Financial Summary &amp; Stats'!B33,'Direct and Indirect Expenses'!$H$14:$H$34)*N33/SUMIF('Financial Summary &amp; Stats'!$B:$B,'Financial Summary &amp; Stats'!B33,'Financial Summary &amp; Stats'!$N:$N),0)</f>
        <v>0</v>
      </c>
      <c r="S33" s="595"/>
      <c r="T33" s="202">
        <f>IFERROR(IF('Direct and Indirect Expenses'!$A$9="Other Indirect Allocation Method",(ROUND((N33+P33)/($N$8+$P$8)*'Direct and Indirect Expenses'!$C$9,0)),ROUND((N33+P33)*'Direct and Indirect Expenses'!$B$9,0)),0)</f>
        <v>0</v>
      </c>
      <c r="U33" s="202">
        <f t="shared" si="7"/>
        <v>0</v>
      </c>
      <c r="V33" s="293" t="str">
        <f t="shared" si="8"/>
        <v/>
      </c>
      <c r="Y33" s="128"/>
    </row>
    <row r="34" spans="1:25" ht="20.100000000000001" customHeight="1" x14ac:dyDescent="0.2">
      <c r="A34" s="116" t="s">
        <v>116</v>
      </c>
      <c r="B34" s="122" t="s">
        <v>85</v>
      </c>
      <c r="C34" s="122" t="s">
        <v>195</v>
      </c>
      <c r="D34" s="123" t="str">
        <f t="array" ref="D34">IFERROR(INDEX('Crosswalk '!$C$9:$C$94,MATCH(1,(B34='Crosswalk '!$B$9:$B$94)*(E34='Crosswalk '!$G$9:$G$94),0)),"")</f>
        <v/>
      </c>
      <c r="E34" s="159" t="str">
        <f t="array" ref="E34">IFERROR(INDEX('Crosswalk '!$E$106:$E$125,MATCH(1,($A$11='Crosswalk '!$D$106:$D$125)*($C34='Crosswalk '!$F$106:$F$125),0)),"")</f>
        <v/>
      </c>
      <c r="F34" s="484"/>
      <c r="G34" s="181"/>
      <c r="H34" s="159" t="str">
        <f t="array" ref="H34">IFERROR(INDEX('Crosswalk '!$E$9:$E$103,MATCH(1,($B34='Crosswalk '!$B$9:$B$103)*($E34='Crosswalk '!$G$9:$G$103),0)),"")</f>
        <v/>
      </c>
      <c r="I34" s="125">
        <f t="shared" si="1"/>
        <v>0</v>
      </c>
      <c r="J34" s="126" t="str">
        <f t="shared" si="9"/>
        <v/>
      </c>
      <c r="K34" s="127">
        <f t="shared" si="3"/>
        <v>0</v>
      </c>
      <c r="L34" s="295">
        <f t="shared" ref="L34:L35" si="10">ROUND(K34*$B$13,0)</f>
        <v>0</v>
      </c>
      <c r="M34" s="295">
        <f t="shared" si="4"/>
        <v>0</v>
      </c>
      <c r="N34" s="186">
        <f t="shared" ref="N34:N35" si="11">ROUND(L34+M34,0)</f>
        <v>0</v>
      </c>
      <c r="O34" s="201" t="str">
        <f>IFERROR(ROUND(N34/'Direct Prof Sal &amp; Fringes  '!$L$8,8),"")</f>
        <v/>
      </c>
      <c r="P34" s="186" t="str">
        <f>IF(ISBLANK(O34),"",IFERROR(ROUND(O34*' Indirect Non-prof Sal &amp; Fringe'!$M$42,0),""))</f>
        <v/>
      </c>
      <c r="Q34" s="186" t="str">
        <f>IF(ISBLANK(O34),"",IFERROR(ROUND(O34*'Direct and Indirect Expenses'!$K$20,0),""))</f>
        <v/>
      </c>
      <c r="R34" s="309">
        <f>IFERROR(SUMIF('Direct and Indirect Expenses'!$B$14:$B$34,'Financial Summary &amp; Stats'!B34,'Direct and Indirect Expenses'!$H$14:$H$34)*N34/SUMIF('Financial Summary &amp; Stats'!$B:$B,'Financial Summary &amp; Stats'!B34,'Financial Summary &amp; Stats'!$N:$N),0)</f>
        <v>0</v>
      </c>
      <c r="S34" s="595"/>
      <c r="T34" s="202">
        <f>IFERROR(IF('Direct and Indirect Expenses'!$A$9="Other Indirect Allocation Method",(ROUND((N34+P34)/($N$8+$P$8)*'Direct and Indirect Expenses'!$C$9,0)),ROUND((N34+P34)*'Direct and Indirect Expenses'!$B$9,0)),0)</f>
        <v>0</v>
      </c>
      <c r="U34" s="202">
        <f t="shared" si="7"/>
        <v>0</v>
      </c>
      <c r="V34" s="293" t="str">
        <f t="shared" si="8"/>
        <v/>
      </c>
      <c r="Y34" s="128"/>
    </row>
    <row r="35" spans="1:25" ht="20.100000000000001" customHeight="1" x14ac:dyDescent="0.2">
      <c r="A35" s="116" t="s">
        <v>116</v>
      </c>
      <c r="B35" s="122" t="s">
        <v>85</v>
      </c>
      <c r="C35" s="122" t="s">
        <v>196</v>
      </c>
      <c r="D35" s="123" t="str">
        <f t="array" ref="D35">IFERROR(INDEX('Crosswalk '!$C$9:$C$94,MATCH(1,(B35='Crosswalk '!$B$9:$B$94)*(E35='Crosswalk '!$G$9:$G$94),0)),"")</f>
        <v/>
      </c>
      <c r="E35" s="159" t="str">
        <f t="array" ref="E35">IFERROR(INDEX('Crosswalk '!$E$106:$E$125,MATCH(1,($A$11='Crosswalk '!$D$106:$D$125)*($C35='Crosswalk '!$F$106:$F$125),0)),"")</f>
        <v/>
      </c>
      <c r="F35" s="484"/>
      <c r="G35" s="486"/>
      <c r="H35" s="159" t="str">
        <f t="array" ref="H35">IFERROR(INDEX('Crosswalk '!$E$9:$E$103,MATCH(1,($B35='Crosswalk '!$B$9:$B$103)*($E35='Crosswalk '!$G$9:$G$103),0)),"")</f>
        <v/>
      </c>
      <c r="I35" s="166"/>
      <c r="J35" s="126" t="str">
        <f t="shared" si="9"/>
        <v/>
      </c>
      <c r="K35" s="127">
        <f t="shared" si="3"/>
        <v>0</v>
      </c>
      <c r="L35" s="295">
        <f t="shared" si="10"/>
        <v>0</v>
      </c>
      <c r="M35" s="295">
        <f t="shared" si="4"/>
        <v>0</v>
      </c>
      <c r="N35" s="186">
        <f t="shared" si="11"/>
        <v>0</v>
      </c>
      <c r="O35" s="201" t="str">
        <f>IFERROR(ROUND(N35/'Direct Prof Sal &amp; Fringes  '!$L$8,8),"")</f>
        <v/>
      </c>
      <c r="P35" s="186" t="str">
        <f>IF(ISBLANK(O35),"",IFERROR(ROUND(O35*' Indirect Non-prof Sal &amp; Fringe'!$M$42,0),""))</f>
        <v/>
      </c>
      <c r="Q35" s="186" t="str">
        <f>IF(ISBLANK(O35),"",IFERROR(ROUND(O35*'Direct and Indirect Expenses'!$K$20,0),""))</f>
        <v/>
      </c>
      <c r="R35" s="309">
        <f>IFERROR(SUMIF('Direct and Indirect Expenses'!$B$14:$B$34,'Financial Summary &amp; Stats'!B35,'Direct and Indirect Expenses'!$H$14:$H$34)*N35/SUMIF('Financial Summary &amp; Stats'!$B:$B,'Financial Summary &amp; Stats'!B35,'Financial Summary &amp; Stats'!$N:$N),0)</f>
        <v>0</v>
      </c>
      <c r="S35" s="595"/>
      <c r="T35" s="202">
        <f>IFERROR(IF('Direct and Indirect Expenses'!$A$9="Other Indirect Allocation Method",(ROUND((N35+P35)/($N$8+$P$8)*'Direct and Indirect Expenses'!$C$9,0)),ROUND((N35+P35)*'Direct and Indirect Expenses'!$B$9,0)),0)</f>
        <v>0</v>
      </c>
      <c r="U35" s="202">
        <f t="shared" si="7"/>
        <v>0</v>
      </c>
      <c r="V35" s="293" t="str">
        <f t="shared" si="8"/>
        <v/>
      </c>
      <c r="Y35" s="128"/>
    </row>
    <row r="36" spans="1:25" ht="20.100000000000001" customHeight="1" x14ac:dyDescent="0.2">
      <c r="A36" s="116" t="s">
        <v>116</v>
      </c>
      <c r="B36" s="122" t="s">
        <v>85</v>
      </c>
      <c r="C36" s="122"/>
      <c r="D36" s="123" t="str">
        <f t="array" ref="D36">IFERROR(INDEX('Crosswalk '!$C$9:$C$94,MATCH(1,(B36='Crosswalk '!$B$9:$B$94)*(E36='Crosswalk '!$G$9:$G$94),0)),"")</f>
        <v/>
      </c>
      <c r="E36" s="159" t="str">
        <f t="array" ref="E36">IFERROR(INDEX('Crosswalk '!$E$106:$E$125,MATCH(1,($A$11='Crosswalk '!$D$106:$D$125)*($C36='Crosswalk '!$F$106:$F$125),0)),"")</f>
        <v/>
      </c>
      <c r="F36" s="484"/>
      <c r="G36" s="486"/>
      <c r="H36" s="159" t="str">
        <f t="array" ref="H36">IFERROR(INDEX('Crosswalk '!$E$9:$E$103,MATCH(1,($B36='Crosswalk '!$B$9:$B$103)*($E36='Crosswalk '!$G$9:$G$103),0)),"")</f>
        <v/>
      </c>
      <c r="I36" s="166"/>
      <c r="J36" s="126" t="str">
        <f t="shared" si="9"/>
        <v/>
      </c>
      <c r="K36" s="127">
        <f t="shared" si="3"/>
        <v>0</v>
      </c>
      <c r="L36" s="295">
        <f t="shared" si="6"/>
        <v>0</v>
      </c>
      <c r="M36" s="295">
        <f t="shared" si="4"/>
        <v>0</v>
      </c>
      <c r="N36" s="186">
        <f t="shared" si="5"/>
        <v>0</v>
      </c>
      <c r="O36" s="201" t="str">
        <f>IFERROR(ROUND(N36/'Direct Prof Sal &amp; Fringes  '!$L$8,8),"")</f>
        <v/>
      </c>
      <c r="P36" s="186" t="str">
        <f>IF(ISBLANK(O36),"",IFERROR(ROUND(O36*' Indirect Non-prof Sal &amp; Fringe'!$M$42,0),""))</f>
        <v/>
      </c>
      <c r="Q36" s="186" t="str">
        <f>IF(ISBLANK(O36),"",IFERROR(ROUND(O36*'Direct and Indirect Expenses'!$K$20,0),""))</f>
        <v/>
      </c>
      <c r="R36" s="309">
        <f>IFERROR(SUMIF('Direct and Indirect Expenses'!$B$14:$B$34,'Financial Summary &amp; Stats'!B36,'Direct and Indirect Expenses'!$H$14:$H$34)*N36/SUMIF('Financial Summary &amp; Stats'!$B:$B,'Financial Summary &amp; Stats'!B36,'Financial Summary &amp; Stats'!$N:$N),0)</f>
        <v>0</v>
      </c>
      <c r="S36" s="595"/>
      <c r="T36" s="202">
        <f>IFERROR(IF('Direct and Indirect Expenses'!$A$9="Other Indirect Allocation Method",(ROUND((N36+P36)/($N$8+$P$8)*'Direct and Indirect Expenses'!$C$9,0)),ROUND((N36+P36)*'Direct and Indirect Expenses'!$B$9,0)),0)</f>
        <v>0</v>
      </c>
      <c r="U36" s="202">
        <f t="shared" si="7"/>
        <v>0</v>
      </c>
      <c r="V36" s="293" t="str">
        <f t="shared" si="8"/>
        <v/>
      </c>
      <c r="Y36" s="128"/>
    </row>
    <row r="37" spans="1:25" ht="20.100000000000001" customHeight="1" x14ac:dyDescent="0.2">
      <c r="A37" s="116" t="s">
        <v>110</v>
      </c>
      <c r="B37" s="122" t="s">
        <v>73</v>
      </c>
      <c r="C37" s="122"/>
      <c r="D37" s="123" t="str">
        <f t="array" ref="D37">IFERROR(INDEX('Crosswalk '!$C$9:$C$94,MATCH(1,(B37='Crosswalk '!$B$9:$B$94)*(E37='Crosswalk '!$G$9:$G$94),0)),"")</f>
        <v/>
      </c>
      <c r="E37" s="159" t="str">
        <f t="array" ref="E37">IFERROR(INDEX('Crosswalk '!$E$106:$E$125,MATCH(1,($A$11='Crosswalk '!$D$106:$D$125)*($C37='Crosswalk '!$F$106:$F$125),0)),"")</f>
        <v/>
      </c>
      <c r="F37" s="484"/>
      <c r="G37" s="181"/>
      <c r="H37" s="159" t="str">
        <f t="array" ref="H37">IFERROR(INDEX('Crosswalk '!$E$9:$E$103,MATCH(1,($B37='Crosswalk '!$B$9:$B$103)*($E37='Crosswalk '!$G$9:$G$103),0)),"")</f>
        <v/>
      </c>
      <c r="I37" s="125">
        <f t="shared" si="1"/>
        <v>0</v>
      </c>
      <c r="J37" s="126" t="str">
        <f t="shared" si="9"/>
        <v/>
      </c>
      <c r="K37" s="127">
        <f t="shared" si="3"/>
        <v>0</v>
      </c>
      <c r="L37" s="295">
        <f t="shared" si="6"/>
        <v>0</v>
      </c>
      <c r="M37" s="295">
        <f t="shared" si="4"/>
        <v>0</v>
      </c>
      <c r="N37" s="186">
        <f t="shared" si="5"/>
        <v>0</v>
      </c>
      <c r="O37" s="201" t="str">
        <f>IFERROR(ROUND(N37/'Direct Prof Sal &amp; Fringes  '!$L$8,8),"")</f>
        <v/>
      </c>
      <c r="P37" s="186" t="str">
        <f>IF(ISBLANK(O37),"",IFERROR(ROUND(O37*' Indirect Non-prof Sal &amp; Fringe'!$M$42,0),""))</f>
        <v/>
      </c>
      <c r="Q37" s="186" t="str">
        <f>IF(ISBLANK(O37),"",IFERROR(ROUND(O37*'Direct and Indirect Expenses'!$K$20,0),""))</f>
        <v/>
      </c>
      <c r="R37" s="309">
        <f>IFERROR(SUMIF('Direct and Indirect Expenses'!$B$14:$B$34,'Financial Summary &amp; Stats'!B37,'Direct and Indirect Expenses'!$H$14:$H$34)*N37/SUMIF('Financial Summary &amp; Stats'!$B:$B,'Financial Summary &amp; Stats'!B37,'Financial Summary &amp; Stats'!$N:$N),0)</f>
        <v>0</v>
      </c>
      <c r="S37" s="595"/>
      <c r="T37" s="202">
        <f>IFERROR(IF('Direct and Indirect Expenses'!$A$9="Other Indirect Allocation Method",(ROUND((N37+P37)/($N$8+$P$8)*'Direct and Indirect Expenses'!$C$9,0)),ROUND((N37+P37)*'Direct and Indirect Expenses'!$B$9,0)),0)</f>
        <v>0</v>
      </c>
      <c r="U37" s="202">
        <f t="shared" si="7"/>
        <v>0</v>
      </c>
      <c r="V37" s="293" t="str">
        <f t="shared" si="8"/>
        <v/>
      </c>
      <c r="Y37" s="128"/>
    </row>
    <row r="38" spans="1:25" ht="20.100000000000001" customHeight="1" x14ac:dyDescent="0.2">
      <c r="A38" s="116" t="s">
        <v>109</v>
      </c>
      <c r="B38" s="122">
        <v>99367</v>
      </c>
      <c r="C38" s="122"/>
      <c r="D38" s="123">
        <f t="array" ref="D38">IFERROR(INDEX('Crosswalk '!$C$9:$C$94,MATCH(1,(B38='Crosswalk '!$B$9:$B$94)*(E38='Crosswalk '!$G$9:$G$94),0)),"")</f>
        <v>0</v>
      </c>
      <c r="E38" s="159" t="s">
        <v>142</v>
      </c>
      <c r="F38" s="484"/>
      <c r="G38" s="181"/>
      <c r="H38" s="159">
        <f t="array" ref="H38">IFERROR(INDEX('Crosswalk '!$E$9:$E$94,MATCH(1,($B38='Crosswalk '!$B$9:$B$94)*($E38='Crosswalk '!$G$9:$G$94),0)),"")</f>
        <v>0.5</v>
      </c>
      <c r="I38" s="125">
        <f t="shared" si="1"/>
        <v>0</v>
      </c>
      <c r="J38" s="126">
        <f t="shared" si="9"/>
        <v>0</v>
      </c>
      <c r="K38" s="127">
        <f t="shared" si="3"/>
        <v>0</v>
      </c>
      <c r="L38" s="295">
        <f t="shared" si="6"/>
        <v>0</v>
      </c>
      <c r="M38" s="295">
        <f t="shared" si="4"/>
        <v>0</v>
      </c>
      <c r="N38" s="186">
        <f t="shared" si="5"/>
        <v>0</v>
      </c>
      <c r="O38" s="201" t="str">
        <f>IFERROR(ROUND(N38/'Direct Prof Sal &amp; Fringes  '!$L$8,8),"")</f>
        <v/>
      </c>
      <c r="P38" s="186" t="str">
        <f>IF(ISBLANK(O38),"",IFERROR(ROUND(O38*' Indirect Non-prof Sal &amp; Fringe'!$M$42,0),""))</f>
        <v/>
      </c>
      <c r="Q38" s="186" t="str">
        <f>IF(ISBLANK(O38),"",IFERROR(ROUND(O38*'Direct and Indirect Expenses'!$K$20,0),""))</f>
        <v/>
      </c>
      <c r="R38" s="309">
        <f>IFERROR(SUMIF('Direct and Indirect Expenses'!$B$14:$B$34,'Financial Summary &amp; Stats'!B38,'Direct and Indirect Expenses'!$H$14:$H$34)*N38/SUMIF('Financial Summary &amp; Stats'!$B:$B,'Financial Summary &amp; Stats'!B38,'Financial Summary &amp; Stats'!$N:$N),0)</f>
        <v>0</v>
      </c>
      <c r="S38" s="595"/>
      <c r="T38" s="202">
        <f>IFERROR(IF('Direct and Indirect Expenses'!$A$9="Other Indirect Allocation Method",(ROUND((N38+P38)/($N$8+$P$8)*'Direct and Indirect Expenses'!$C$9,0)),ROUND((N38+P38)*'Direct and Indirect Expenses'!$B$9,0)),0)</f>
        <v>0</v>
      </c>
      <c r="U38" s="202">
        <f t="shared" si="7"/>
        <v>0</v>
      </c>
      <c r="V38" s="293" t="str">
        <f t="shared" si="8"/>
        <v/>
      </c>
      <c r="Y38" s="128"/>
    </row>
    <row r="39" spans="1:25" ht="20.100000000000001" customHeight="1" x14ac:dyDescent="0.2">
      <c r="A39" s="116" t="s">
        <v>108</v>
      </c>
      <c r="B39" s="122">
        <v>99366</v>
      </c>
      <c r="C39" s="122"/>
      <c r="D39" s="123">
        <f t="array" ref="D39">IFERROR(INDEX('Crosswalk '!$C$9:$C$94,MATCH(1,(B39='Crosswalk '!$B$9:$B$94)*(E39='Crosswalk '!$G$9:$G$94),0)),"")</f>
        <v>0</v>
      </c>
      <c r="E39" s="159" t="s">
        <v>142</v>
      </c>
      <c r="F39" s="484"/>
      <c r="G39" s="181"/>
      <c r="H39" s="159">
        <f t="array" ref="H39">IFERROR(INDEX('Crosswalk '!$E$9:$E$94,MATCH(1,($B39='Crosswalk '!$B$9:$B$94)*($E39='Crosswalk '!$G$9:$G$94),0)),"")</f>
        <v>0.5</v>
      </c>
      <c r="I39" s="125">
        <f t="shared" si="1"/>
        <v>0</v>
      </c>
      <c r="J39" s="126">
        <f t="shared" si="9"/>
        <v>0</v>
      </c>
      <c r="K39" s="127">
        <f t="shared" si="3"/>
        <v>0</v>
      </c>
      <c r="L39" s="295">
        <f t="shared" si="6"/>
        <v>0</v>
      </c>
      <c r="M39" s="295">
        <f t="shared" si="4"/>
        <v>0</v>
      </c>
      <c r="N39" s="186">
        <f t="shared" si="5"/>
        <v>0</v>
      </c>
      <c r="O39" s="201" t="str">
        <f>IFERROR(ROUND(N39/'Direct Prof Sal &amp; Fringes  '!$L$8,8),"")</f>
        <v/>
      </c>
      <c r="P39" s="186" t="str">
        <f>IF(ISBLANK(O39),"",IFERROR(ROUND(O39*' Indirect Non-prof Sal &amp; Fringe'!$M$42,0),""))</f>
        <v/>
      </c>
      <c r="Q39" s="186" t="str">
        <f>IF(ISBLANK(O39),"",IFERROR(ROUND(O39*'Direct and Indirect Expenses'!$K$20,0),""))</f>
        <v/>
      </c>
      <c r="R39" s="309">
        <f>IFERROR(SUMIF('Direct and Indirect Expenses'!$B$14:$B$34,'Financial Summary &amp; Stats'!B39,'Direct and Indirect Expenses'!$H$14:$H$34)*N39/SUMIF('Financial Summary &amp; Stats'!$B:$B,'Financial Summary &amp; Stats'!B39,'Financial Summary &amp; Stats'!$N:$N),0)</f>
        <v>0</v>
      </c>
      <c r="S39" s="595"/>
      <c r="T39" s="202">
        <f>IFERROR(IF('Direct and Indirect Expenses'!$A$9="Other Indirect Allocation Method",(ROUND((N39+P39)/($N$8+$P$8)*'Direct and Indirect Expenses'!$C$9,0)),ROUND((N39+P39)*'Direct and Indirect Expenses'!$B$9,0)),0)</f>
        <v>0</v>
      </c>
      <c r="U39" s="202">
        <f t="shared" si="7"/>
        <v>0</v>
      </c>
      <c r="V39" s="293" t="str">
        <f t="shared" si="8"/>
        <v/>
      </c>
      <c r="Y39" s="128"/>
    </row>
    <row r="40" spans="1:25" ht="20.100000000000001" customHeight="1" x14ac:dyDescent="0.2">
      <c r="A40" s="171"/>
      <c r="B40" s="172"/>
      <c r="C40" s="172"/>
      <c r="D40" s="173"/>
      <c r="E40" s="173"/>
      <c r="F40" s="174"/>
      <c r="G40" s="179"/>
      <c r="H40" s="175" t="str">
        <f t="array" ref="H40">IFERROR(INDEX('Crosswalk '!$E$9:$E$94,MATCH(1,($B40='Crosswalk '!$B$9:$B$94)*($E40='Crosswalk '!$G$9:$G$94),0)),"")</f>
        <v/>
      </c>
      <c r="I40" s="176"/>
      <c r="J40" s="176"/>
      <c r="K40" s="178"/>
      <c r="L40" s="296"/>
      <c r="M40" s="296"/>
      <c r="N40" s="302"/>
      <c r="O40" s="177"/>
      <c r="P40" s="177"/>
      <c r="Q40" s="177"/>
      <c r="R40" s="302"/>
      <c r="S40" s="302"/>
      <c r="T40" s="193"/>
      <c r="U40" s="193"/>
      <c r="V40" s="191"/>
      <c r="Y40" s="128"/>
    </row>
    <row r="41" spans="1:25" ht="20.100000000000001" customHeight="1" x14ac:dyDescent="0.2">
      <c r="A41" s="171"/>
      <c r="B41" s="172"/>
      <c r="C41" s="172"/>
      <c r="D41" s="173"/>
      <c r="E41" s="173"/>
      <c r="F41" s="174"/>
      <c r="G41" s="179"/>
      <c r="H41" s="175" t="str">
        <f t="array" ref="H41">IFERROR(INDEX('Crosswalk '!$E$9:$E$94,MATCH(1,($B41='Crosswalk '!$B$9:$B$94)*($E41='Crosswalk '!$G$9:$G$94),0)),"")</f>
        <v/>
      </c>
      <c r="I41" s="176"/>
      <c r="J41" s="176"/>
      <c r="K41" s="178"/>
      <c r="L41" s="296"/>
      <c r="M41" s="296"/>
      <c r="N41" s="302"/>
      <c r="O41" s="177"/>
      <c r="P41" s="177"/>
      <c r="Q41" s="177"/>
      <c r="R41" s="302"/>
      <c r="S41" s="302"/>
      <c r="T41" s="193"/>
      <c r="U41" s="193"/>
      <c r="V41" s="191"/>
      <c r="Y41" s="128"/>
    </row>
    <row r="42" spans="1:25" ht="28.5" customHeight="1" x14ac:dyDescent="0.25">
      <c r="A42" s="289" t="s">
        <v>101</v>
      </c>
      <c r="B42" s="122"/>
      <c r="C42" s="122"/>
      <c r="D42" s="123"/>
      <c r="E42" s="123"/>
      <c r="F42" s="130"/>
      <c r="G42" s="180"/>
      <c r="H42" s="159"/>
      <c r="I42" s="125"/>
      <c r="J42" s="126"/>
      <c r="K42" s="127"/>
      <c r="L42" s="295"/>
      <c r="M42" s="295"/>
      <c r="N42" s="186"/>
      <c r="O42" s="121"/>
      <c r="P42" s="121"/>
      <c r="Q42" s="186"/>
      <c r="R42" s="186"/>
      <c r="S42" s="186"/>
      <c r="T42" s="186"/>
      <c r="U42" s="186"/>
      <c r="V42" s="293"/>
      <c r="Y42" s="128"/>
    </row>
    <row r="43" spans="1:25" ht="20.100000000000001" customHeight="1" x14ac:dyDescent="0.2">
      <c r="A43" s="129" t="s">
        <v>117</v>
      </c>
      <c r="B43" s="131">
        <v>96101</v>
      </c>
      <c r="C43" s="131"/>
      <c r="D43" s="123" t="str">
        <f t="array" ref="D43">IFERROR(INDEX('Crosswalk '!$C$9:$C$94,MATCH(1,(B43='Crosswalk '!$B$9:$B$94)*(E43='Crosswalk '!$G$9:$G$94),0)),"")</f>
        <v/>
      </c>
      <c r="E43" s="159" t="str">
        <f t="array" ref="E43">IFERROR(INDEX('Crosswalk '!$E$106:$E$125,MATCH(1,($A$11='Crosswalk '!$D$106:$D$125)*($C43='Crosswalk '!$F$106:$F$125),0)),"")</f>
        <v/>
      </c>
      <c r="F43" s="484"/>
      <c r="G43" s="181"/>
      <c r="H43" s="159" t="str">
        <f t="array" ref="H43">IFERROR(INDEX('Crosswalk '!$E$9:$E$103,MATCH(1,($B43='Crosswalk '!$B$9:$B$103)*($E43='Crosswalk '!$G$9:$G$103),0)),"")</f>
        <v/>
      </c>
      <c r="I43" s="125">
        <f t="shared" ref="I43" si="12">IFERROR(ROUND(F43*H43,2),0)</f>
        <v>0</v>
      </c>
      <c r="J43" s="126" t="str">
        <f t="shared" ref="J43:J45" si="13">IF(ISTEXT(H43),"",IFERROR(ROUND(I43+G43,2),""))</f>
        <v/>
      </c>
      <c r="K43" s="127">
        <f t="shared" ref="K43:K45" si="14">IF(ISERROR(J43/$J$50),0,ROUND(J43/$J$50,8))</f>
        <v>0</v>
      </c>
      <c r="L43" s="295">
        <f t="shared" ref="L43" si="15">ROUND(K43*$B$13,0)</f>
        <v>0</v>
      </c>
      <c r="M43" s="295">
        <f t="shared" ref="M43:M45" si="16">IFERROR(ROUND(L43/$L$50*$M$50,0),0)</f>
        <v>0</v>
      </c>
      <c r="N43" s="186">
        <f t="shared" ref="N43" si="17">ROUND(L43+M43,0)</f>
        <v>0</v>
      </c>
      <c r="O43" s="201" t="str">
        <f>IFERROR(ROUND(N43/'Direct Prof Sal &amp; Fringes  '!$L$8,8),"")</f>
        <v/>
      </c>
      <c r="P43" s="186" t="str">
        <f>IF(ISBLANK(O43),"",IFERROR(ROUND(O43*' Indirect Non-prof Sal &amp; Fringe'!$M$42,0),""))</f>
        <v/>
      </c>
      <c r="Q43" s="186" t="str">
        <f>IF(ISBLANK(O43),"",IFERROR(ROUND(O43*'Direct and Indirect Expenses'!$K$20,0),""))</f>
        <v/>
      </c>
      <c r="R43" s="309">
        <f>IFERROR(SUMIF('Direct and Indirect Expenses'!$B$14:$B$34,'Financial Summary &amp; Stats'!B43,'Direct and Indirect Expenses'!$H$14:$H$34)*N43/SUMIF('Financial Summary &amp; Stats'!$B:$B,'Financial Summary &amp; Stats'!B43,'Financial Summary &amp; Stats'!$N:$N),0)</f>
        <v>0</v>
      </c>
      <c r="S43" s="595"/>
      <c r="T43" s="202">
        <f>IFERROR(IF('Direct and Indirect Expenses'!$A$9="Other Indirect Allocation Method",(ROUND((N43+P43)/($N$8+$P$8)*'Direct and Indirect Expenses'!$C$9,0)),ROUND((N43+P43)*'Direct and Indirect Expenses'!$B$9,0)),0)</f>
        <v>0</v>
      </c>
      <c r="U43" s="202">
        <f t="shared" ref="U43:U45" si="18">IFERROR(ROUND((T43+R43+Q43+P43+N43+S43),0),0)</f>
        <v>0</v>
      </c>
      <c r="V43" s="293" t="str">
        <f>IFERROR(ROUND(U43/F43,2),"")</f>
        <v/>
      </c>
      <c r="Y43" s="128"/>
    </row>
    <row r="44" spans="1:25" ht="20.100000000000001" customHeight="1" x14ac:dyDescent="0.2">
      <c r="A44" s="129" t="s">
        <v>122</v>
      </c>
      <c r="B44" s="132" t="s">
        <v>120</v>
      </c>
      <c r="C44" s="132"/>
      <c r="D44" s="123" t="str">
        <f t="array" ref="D44">IFERROR(INDEX('Crosswalk '!$C$9:$C$94,MATCH(1,(B44='Crosswalk '!$B$9:$B$94)*(E44='Crosswalk '!$G$9:$G$94),0)),"")</f>
        <v/>
      </c>
      <c r="E44" s="159"/>
      <c r="F44" s="484"/>
      <c r="G44" s="181"/>
      <c r="H44" s="159">
        <f t="array" ref="H44">IFERROR(INDEX('Crosswalk '!$E$9:$E$103,MATCH(1,($B44='Crosswalk '!$B$9:$B$103)*($E44='Crosswalk '!$G$9:$G$103),0)),"")</f>
        <v>0.25</v>
      </c>
      <c r="I44" s="125">
        <f t="shared" ref="I44:I45" si="19">IFERROR(ROUND(F44*H44,2),0)</f>
        <v>0</v>
      </c>
      <c r="J44" s="126">
        <f t="shared" si="13"/>
        <v>0</v>
      </c>
      <c r="K44" s="127">
        <f t="shared" si="14"/>
        <v>0</v>
      </c>
      <c r="L44" s="295">
        <f t="shared" ref="L44:L45" si="20">ROUND(K44*$B$13,0)</f>
        <v>0</v>
      </c>
      <c r="M44" s="295">
        <f t="shared" si="16"/>
        <v>0</v>
      </c>
      <c r="N44" s="186">
        <f t="shared" ref="N44:N45" si="21">ROUND(L44+M44,0)</f>
        <v>0</v>
      </c>
      <c r="O44" s="201" t="str">
        <f>IFERROR(ROUND(N44/'Direct Prof Sal &amp; Fringes  '!$L$8,8),"")</f>
        <v/>
      </c>
      <c r="P44" s="186" t="str">
        <f>IF(ISBLANK(O44),"",IFERROR(ROUND(O44*' Indirect Non-prof Sal &amp; Fringe'!$M$42,0),""))</f>
        <v/>
      </c>
      <c r="Q44" s="186" t="str">
        <f>IF(ISBLANK(O44),"",IFERROR(ROUND(O44*'Direct and Indirect Expenses'!$K$20,0),""))</f>
        <v/>
      </c>
      <c r="R44" s="309">
        <f>IFERROR(SUMIF('Direct and Indirect Expenses'!$B$14:$B$34,'Financial Summary &amp; Stats'!B44,'Direct and Indirect Expenses'!$H$14:$H$34)*N44/SUMIF('Financial Summary &amp; Stats'!$B:$B,'Financial Summary &amp; Stats'!B44,'Financial Summary &amp; Stats'!$N:$N),0)</f>
        <v>0</v>
      </c>
      <c r="S44" s="595"/>
      <c r="T44" s="202">
        <f>IFERROR(IF('Direct and Indirect Expenses'!$A$9="Other Indirect Allocation Method",(ROUND((N44+P44)/($N$8+$P$8)*'Direct and Indirect Expenses'!$C$9,0)),ROUND((N44+P44)*'Direct and Indirect Expenses'!$B$9,0)),0)</f>
        <v>0</v>
      </c>
      <c r="U44" s="202">
        <f t="shared" si="18"/>
        <v>0</v>
      </c>
      <c r="V44" s="293" t="str">
        <f t="shared" ref="V44:V45" si="22">IFERROR(ROUND(U44/F44,2),"")</f>
        <v/>
      </c>
      <c r="Y44" s="128"/>
    </row>
    <row r="45" spans="1:25" ht="20.100000000000001" customHeight="1" x14ac:dyDescent="0.2">
      <c r="A45" s="129" t="s">
        <v>123</v>
      </c>
      <c r="B45" s="132" t="s">
        <v>121</v>
      </c>
      <c r="C45" s="132"/>
      <c r="D45" s="123" t="str">
        <f t="array" ref="D45">IFERROR(INDEX('Crosswalk '!$C$9:$C$94,MATCH(1,(B45='Crosswalk '!$B$9:$B$94)*(E45='Crosswalk '!$G$9:$G$94),0)),"")</f>
        <v/>
      </c>
      <c r="E45" s="159"/>
      <c r="F45" s="484"/>
      <c r="G45" s="181"/>
      <c r="H45" s="159">
        <f t="array" ref="H45">IFERROR(INDEX('Crosswalk '!$E$9:$E$103,MATCH(1,($B45='Crosswalk '!$B$9:$B$103)*($E45='Crosswalk '!$G$9:$G$103),0)),"")</f>
        <v>0.25</v>
      </c>
      <c r="I45" s="125">
        <f t="shared" si="19"/>
        <v>0</v>
      </c>
      <c r="J45" s="126">
        <f t="shared" si="13"/>
        <v>0</v>
      </c>
      <c r="K45" s="127">
        <f t="shared" si="14"/>
        <v>0</v>
      </c>
      <c r="L45" s="295">
        <f t="shared" si="20"/>
        <v>0</v>
      </c>
      <c r="M45" s="295">
        <f t="shared" si="16"/>
        <v>0</v>
      </c>
      <c r="N45" s="186">
        <f t="shared" si="21"/>
        <v>0</v>
      </c>
      <c r="O45" s="201" t="str">
        <f>IFERROR(ROUND(N45/'Direct Prof Sal &amp; Fringes  '!$L$8,8),"")</f>
        <v/>
      </c>
      <c r="P45" s="186" t="str">
        <f>IF(ISBLANK(O45),"",IFERROR(ROUND(O45*' Indirect Non-prof Sal &amp; Fringe'!$M$42,0),""))</f>
        <v/>
      </c>
      <c r="Q45" s="186" t="str">
        <f>IF(ISBLANK(O45),"",IFERROR(ROUND(O45*'Direct and Indirect Expenses'!$K$20,0),""))</f>
        <v/>
      </c>
      <c r="R45" s="309">
        <f>IFERROR(SUMIF('Direct and Indirect Expenses'!$B$14:$B$34,'Financial Summary &amp; Stats'!B45,'Direct and Indirect Expenses'!$H$14:$H$34)*N45/SUMIF('Financial Summary &amp; Stats'!$B:$B,'Financial Summary &amp; Stats'!B45,'Financial Summary &amp; Stats'!$N:$N),0)</f>
        <v>0</v>
      </c>
      <c r="S45" s="595"/>
      <c r="T45" s="202">
        <f>IFERROR(IF('Direct and Indirect Expenses'!$A$9="Other Indirect Allocation Method",(ROUND((N45+P45)/($N$8+$P$8)*'Direct and Indirect Expenses'!$C$9,0)),ROUND((N45+P45)*'Direct and Indirect Expenses'!$B$9,0)),0)</f>
        <v>0</v>
      </c>
      <c r="U45" s="202">
        <f t="shared" si="18"/>
        <v>0</v>
      </c>
      <c r="V45" s="293" t="str">
        <f t="shared" si="22"/>
        <v/>
      </c>
      <c r="Y45" s="128"/>
    </row>
    <row r="46" spans="1:25" ht="20.100000000000001" customHeight="1" x14ac:dyDescent="0.2">
      <c r="A46" s="161"/>
      <c r="B46" s="162"/>
      <c r="C46" s="162"/>
      <c r="D46" s="163"/>
      <c r="E46" s="163"/>
      <c r="F46" s="164"/>
      <c r="G46" s="181"/>
      <c r="H46" s="165"/>
      <c r="I46" s="166"/>
      <c r="J46" s="167"/>
      <c r="K46" s="169"/>
      <c r="L46" s="297"/>
      <c r="M46" s="297"/>
      <c r="N46" s="193"/>
      <c r="O46" s="168"/>
      <c r="P46" s="168"/>
      <c r="Q46" s="168"/>
      <c r="R46" s="193"/>
      <c r="S46" s="193"/>
      <c r="T46" s="193"/>
      <c r="U46" s="193"/>
      <c r="V46" s="191"/>
      <c r="Y46" s="128"/>
    </row>
    <row r="47" spans="1:25" ht="20.100000000000001" customHeight="1" x14ac:dyDescent="0.2">
      <c r="A47" s="161"/>
      <c r="B47" s="170"/>
      <c r="C47" s="170"/>
      <c r="D47" s="163"/>
      <c r="E47" s="163"/>
      <c r="F47" s="164"/>
      <c r="G47" s="181"/>
      <c r="H47" s="165"/>
      <c r="I47" s="166"/>
      <c r="J47" s="167"/>
      <c r="K47" s="169"/>
      <c r="L47" s="297"/>
      <c r="M47" s="297"/>
      <c r="N47" s="303"/>
      <c r="O47" s="168"/>
      <c r="P47" s="168"/>
      <c r="Q47" s="168"/>
      <c r="R47" s="193"/>
      <c r="S47" s="193"/>
      <c r="T47" s="193"/>
      <c r="U47" s="193"/>
      <c r="V47" s="191"/>
      <c r="Y47" s="128"/>
    </row>
    <row r="48" spans="1:25" ht="20.100000000000001" customHeight="1" x14ac:dyDescent="0.2">
      <c r="A48" s="129" t="s">
        <v>31</v>
      </c>
      <c r="B48" s="133"/>
      <c r="C48" s="133"/>
      <c r="D48" s="123"/>
      <c r="E48" s="123"/>
      <c r="F48" s="130"/>
      <c r="G48" s="180"/>
      <c r="H48" s="124"/>
      <c r="I48" s="120"/>
      <c r="J48" s="183">
        <f>B12-ROUND(SUM(J17:J39)+SUM(J43:J45),2)</f>
        <v>0</v>
      </c>
      <c r="K48" s="127">
        <f>IF(ISERROR(J48/$J$50),0,ROUND(J48/$J$50,8))</f>
        <v>0</v>
      </c>
      <c r="L48" s="297"/>
      <c r="M48" s="297"/>
      <c r="N48" s="303"/>
      <c r="O48" s="168"/>
      <c r="P48" s="168"/>
      <c r="Q48" s="168"/>
      <c r="R48" s="193"/>
      <c r="S48" s="193"/>
      <c r="T48" s="193"/>
      <c r="U48" s="193"/>
      <c r="V48" s="191"/>
      <c r="Y48" s="128"/>
    </row>
    <row r="49" spans="1:25" ht="20.100000000000001" customHeight="1" x14ac:dyDescent="0.2">
      <c r="A49" s="129"/>
      <c r="B49" s="133"/>
      <c r="C49" s="133"/>
      <c r="D49" s="123"/>
      <c r="E49" s="123"/>
      <c r="F49" s="130"/>
      <c r="G49" s="180"/>
      <c r="H49" s="124"/>
      <c r="I49" s="125"/>
      <c r="J49" s="126"/>
      <c r="K49" s="127"/>
      <c r="L49" s="297"/>
      <c r="M49" s="297"/>
      <c r="N49" s="303"/>
      <c r="O49" s="168"/>
      <c r="P49" s="168"/>
      <c r="Q49" s="168"/>
      <c r="R49" s="193"/>
      <c r="S49" s="193"/>
      <c r="T49" s="193"/>
      <c r="U49" s="193"/>
      <c r="V49" s="191"/>
      <c r="W49" s="187"/>
      <c r="Y49" s="128"/>
    </row>
    <row r="50" spans="1:25" ht="20.100000000000001" customHeight="1" x14ac:dyDescent="0.2">
      <c r="A50" s="129" t="s">
        <v>38</v>
      </c>
      <c r="B50" s="133"/>
      <c r="C50" s="133"/>
      <c r="D50" s="123"/>
      <c r="E50" s="123"/>
      <c r="F50" s="134">
        <f>SUM(F17:F49)</f>
        <v>0</v>
      </c>
      <c r="G50" s="182">
        <f>ROUND(SUM(G17:G49),2)</f>
        <v>0</v>
      </c>
      <c r="H50" s="119"/>
      <c r="I50" s="125">
        <f>ROUND(SUM(I17:I49),2)</f>
        <v>0</v>
      </c>
      <c r="J50" s="126">
        <f>IFERROR(SUM(J17:J48),"")</f>
        <v>0</v>
      </c>
      <c r="K50" s="121">
        <f>ROUND(SUM(K17:K49),4)</f>
        <v>0</v>
      </c>
      <c r="L50" s="298">
        <f>ROUND(SUM(L17:L49),0)</f>
        <v>0</v>
      </c>
      <c r="M50" s="295">
        <f>ROUND(K48*$B$13,0)</f>
        <v>0</v>
      </c>
      <c r="N50" s="194">
        <f>ROUND(SUM(N17:N49),0)</f>
        <v>0</v>
      </c>
      <c r="O50" s="201" t="str">
        <f t="shared" ref="O50" si="23">IFERROR(ROUND(N50/$N$8,4),"")</f>
        <v/>
      </c>
      <c r="P50" s="135">
        <f t="shared" ref="P50:U50" si="24">ROUND(SUM(P17:P49),0)</f>
        <v>0</v>
      </c>
      <c r="Q50" s="135">
        <f t="shared" si="24"/>
        <v>0</v>
      </c>
      <c r="R50" s="194">
        <f t="shared" si="24"/>
        <v>0</v>
      </c>
      <c r="S50" s="194">
        <f t="shared" si="24"/>
        <v>0</v>
      </c>
      <c r="T50" s="194">
        <f t="shared" si="24"/>
        <v>0</v>
      </c>
      <c r="U50" s="194">
        <f t="shared" si="24"/>
        <v>0</v>
      </c>
      <c r="V50" s="190" t="str">
        <f>IFERROR(AVERAGE(V17:V39,V42:V45),"")</f>
        <v/>
      </c>
      <c r="W50" s="187"/>
      <c r="Y50" s="128"/>
    </row>
    <row r="51" spans="1:25" ht="20.100000000000001" customHeight="1" thickBot="1" x14ac:dyDescent="0.25">
      <c r="H51" s="160"/>
      <c r="I51" s="142"/>
      <c r="J51" s="143"/>
      <c r="T51" s="195"/>
      <c r="U51" s="197"/>
    </row>
    <row r="52" spans="1:25" ht="20.100000000000001" customHeight="1" x14ac:dyDescent="0.3">
      <c r="A52" s="669" t="str">
        <f>IF(ISBLANK('Direct Prof Sal &amp; Fringes  '!B43),"",+'Direct Prof Sal &amp; Fringes  '!B43)</f>
        <v/>
      </c>
      <c r="B52" s="671"/>
      <c r="C52" s="671"/>
      <c r="D52" s="671"/>
      <c r="E52" s="671"/>
      <c r="F52" s="671"/>
      <c r="G52" s="671"/>
      <c r="H52" s="671"/>
      <c r="I52" s="671"/>
      <c r="J52" s="671"/>
      <c r="K52" s="671"/>
      <c r="L52" s="671"/>
      <c r="M52" s="671"/>
      <c r="N52" s="671"/>
      <c r="O52" s="671"/>
      <c r="P52" s="671"/>
      <c r="Q52" s="671"/>
      <c r="R52" s="671"/>
      <c r="S52" s="671"/>
      <c r="T52" s="671"/>
      <c r="U52" s="671"/>
      <c r="V52" s="672"/>
    </row>
    <row r="53" spans="1:25" ht="20.100000000000001" customHeight="1" x14ac:dyDescent="0.25">
      <c r="A53" s="429" t="s">
        <v>18</v>
      </c>
      <c r="B53" s="456">
        <f>+'Direct Prof Sal &amp; Fringes  '!I77</f>
        <v>0</v>
      </c>
      <c r="C53" s="456"/>
      <c r="D53" s="431"/>
      <c r="E53" s="432"/>
      <c r="F53" s="432"/>
      <c r="G53" s="431"/>
      <c r="H53" s="433"/>
      <c r="I53" s="434"/>
      <c r="J53" s="432"/>
      <c r="K53" s="433"/>
      <c r="L53" s="435"/>
      <c r="M53" s="436"/>
      <c r="N53" s="436"/>
      <c r="O53" s="457"/>
      <c r="P53" s="457"/>
      <c r="Q53" s="457"/>
      <c r="R53" s="438"/>
      <c r="S53" s="438"/>
      <c r="T53" s="438"/>
      <c r="U53" s="439"/>
      <c r="V53" s="440"/>
    </row>
    <row r="54" spans="1:25" ht="20.100000000000001" customHeight="1" x14ac:dyDescent="0.25">
      <c r="A54" s="429" t="s">
        <v>163</v>
      </c>
      <c r="B54" s="441">
        <f>+'Direct Prof Sal &amp; Fringes  '!L77</f>
        <v>0</v>
      </c>
      <c r="C54" s="441"/>
      <c r="D54" s="431"/>
      <c r="E54" s="432"/>
      <c r="F54" s="432"/>
      <c r="G54" s="431"/>
      <c r="H54" s="433"/>
      <c r="I54" s="434"/>
      <c r="J54" s="432"/>
      <c r="K54" s="433"/>
      <c r="L54" s="435"/>
      <c r="M54" s="436"/>
      <c r="N54" s="436"/>
      <c r="O54" s="457"/>
      <c r="P54" s="457"/>
      <c r="Q54" s="457"/>
      <c r="R54" s="442"/>
      <c r="S54" s="442"/>
      <c r="T54" s="442"/>
      <c r="U54" s="442"/>
      <c r="V54" s="443"/>
    </row>
    <row r="55" spans="1:25" ht="20.100000000000001" customHeight="1" thickBot="1" x14ac:dyDescent="0.3">
      <c r="A55" s="444" t="s">
        <v>222</v>
      </c>
      <c r="B55" s="445">
        <f>IFERROR(ROUND(+(SUM($J$58:$J$86))/B53,8),0)</f>
        <v>0</v>
      </c>
      <c r="C55" s="445"/>
      <c r="D55" s="446" t="str">
        <f>IFERROR(IF(B55&gt;1,"Productivity Cannot Exceed 100%",""),"")</f>
        <v/>
      </c>
      <c r="E55" s="447"/>
      <c r="F55" s="447"/>
      <c r="G55" s="448"/>
      <c r="H55" s="449"/>
      <c r="I55" s="450"/>
      <c r="J55" s="447"/>
      <c r="K55" s="449"/>
      <c r="L55" s="451"/>
      <c r="M55" s="452"/>
      <c r="N55" s="452"/>
      <c r="O55" s="458"/>
      <c r="P55" s="458"/>
      <c r="Q55" s="458"/>
      <c r="R55" s="454"/>
      <c r="S55" s="454"/>
      <c r="T55" s="454"/>
      <c r="U55" s="454"/>
      <c r="V55" s="455"/>
    </row>
    <row r="56" spans="1:25" ht="19.5" customHeight="1" thickBot="1" x14ac:dyDescent="0.3">
      <c r="A56" s="428" t="s">
        <v>49</v>
      </c>
      <c r="B56" s="428" t="s">
        <v>50</v>
      </c>
      <c r="C56" s="428" t="s">
        <v>51</v>
      </c>
      <c r="D56" s="428" t="s">
        <v>52</v>
      </c>
      <c r="E56" s="428" t="s">
        <v>53</v>
      </c>
      <c r="F56" s="428" t="s">
        <v>54</v>
      </c>
      <c r="G56" s="428" t="s">
        <v>55</v>
      </c>
      <c r="H56" s="428" t="s">
        <v>56</v>
      </c>
      <c r="I56" s="428" t="s">
        <v>57</v>
      </c>
      <c r="J56" s="428" t="s">
        <v>58</v>
      </c>
      <c r="K56" s="428" t="s">
        <v>59</v>
      </c>
      <c r="L56" s="428" t="s">
        <v>223</v>
      </c>
      <c r="M56" s="428" t="s">
        <v>224</v>
      </c>
      <c r="N56" s="428" t="s">
        <v>225</v>
      </c>
      <c r="O56" s="428" t="s">
        <v>226</v>
      </c>
      <c r="P56" s="428" t="s">
        <v>227</v>
      </c>
      <c r="Q56" s="428" t="s">
        <v>228</v>
      </c>
      <c r="R56" s="428" t="s">
        <v>229</v>
      </c>
      <c r="S56" s="428" t="s">
        <v>230</v>
      </c>
      <c r="T56" s="428" t="s">
        <v>231</v>
      </c>
      <c r="U56" s="428" t="s">
        <v>232</v>
      </c>
      <c r="V56" s="428" t="s">
        <v>242</v>
      </c>
    </row>
    <row r="57" spans="1:25" ht="103.5" customHeight="1" thickBot="1" x14ac:dyDescent="0.3">
      <c r="A57" s="346" t="s">
        <v>244</v>
      </c>
      <c r="B57" s="347" t="s">
        <v>42</v>
      </c>
      <c r="C57" s="347" t="s">
        <v>198</v>
      </c>
      <c r="D57" s="348" t="s">
        <v>62</v>
      </c>
      <c r="E57" s="348" t="s">
        <v>98</v>
      </c>
      <c r="F57" s="536" t="s">
        <v>260</v>
      </c>
      <c r="G57" s="349" t="s">
        <v>199</v>
      </c>
      <c r="H57" s="350" t="s">
        <v>19</v>
      </c>
      <c r="I57" s="347" t="s">
        <v>256</v>
      </c>
      <c r="J57" s="347" t="s">
        <v>41</v>
      </c>
      <c r="K57" s="351" t="s">
        <v>30</v>
      </c>
      <c r="L57" s="352" t="s">
        <v>173</v>
      </c>
      <c r="M57" s="352" t="s">
        <v>177</v>
      </c>
      <c r="N57" s="352" t="s">
        <v>176</v>
      </c>
      <c r="O57" s="351" t="s">
        <v>172</v>
      </c>
      <c r="P57" s="353" t="s">
        <v>178</v>
      </c>
      <c r="Q57" s="351" t="s">
        <v>204</v>
      </c>
      <c r="R57" s="352" t="s">
        <v>203</v>
      </c>
      <c r="S57" s="352" t="s">
        <v>243</v>
      </c>
      <c r="T57" s="597" t="str">
        <f>IF(ISBLANK(+'Direct and Indirect Expenses'!$A$9),"Indirect Cost Method",+'Direct and Indirect Expenses'!$A$9)</f>
        <v>Indirect Cost Method</v>
      </c>
      <c r="U57" s="354" t="s">
        <v>23</v>
      </c>
      <c r="V57" s="355" t="s">
        <v>44</v>
      </c>
    </row>
    <row r="58" spans="1:25" ht="20.100000000000001" customHeight="1" x14ac:dyDescent="0.2">
      <c r="A58" s="290" t="s">
        <v>75</v>
      </c>
      <c r="B58" s="283" t="s">
        <v>77</v>
      </c>
      <c r="C58" s="283"/>
      <c r="D58" s="198" t="str">
        <f t="array" ref="D58">IFERROR(INDEX('Crosswalk '!$C$9:$C$94,MATCH(1,($B58='Crosswalk '!$B$9:$B$94)*($E58='Crosswalk '!$G$9:$G$94),0)),"")</f>
        <v/>
      </c>
      <c r="E58" s="291" t="str">
        <f t="array" ref="E58">IFERROR(INDEX('Crosswalk '!$E$106:$E$125,MATCH(1,($A$52='Crosswalk '!$D$106:$D$125)*($C58='Crosswalk '!$F$106:$F$125),0)),"")</f>
        <v/>
      </c>
      <c r="F58" s="484"/>
      <c r="G58" s="292"/>
      <c r="H58" s="159" t="str">
        <f t="array" ref="H58">IFERROR(INDEX('Crosswalk '!$E$9:$E$103,MATCH(1,($B58='Crosswalk '!$B$9:$B$103)*($E58='Crosswalk '!$G$9:$G$103),0)),"")</f>
        <v/>
      </c>
      <c r="I58" s="199">
        <f t="shared" ref="I58:I65" si="25">IFERROR(ROUND(F58*H58,2),0)</f>
        <v>0</v>
      </c>
      <c r="J58" s="126" t="str">
        <f t="shared" ref="J58:J80" si="26">IF(ISTEXT(H58),"",IFERROR(ROUND(I58+G58,2),""))</f>
        <v/>
      </c>
      <c r="K58" s="200">
        <f t="shared" ref="K58:K80" si="27">IF(ISERROR(J58/$J$91),0,ROUND(J58/$J$91,8))</f>
        <v>0</v>
      </c>
      <c r="L58" s="294">
        <f>ROUND(K58*$B$54,0)</f>
        <v>0</v>
      </c>
      <c r="M58" s="295">
        <f t="shared" ref="M58:M80" si="28">IFERROR(ROUND(L58/$L$91*$M$91,0),0)</f>
        <v>0</v>
      </c>
      <c r="N58" s="202">
        <f t="shared" ref="N58:N80" si="29">ROUND(L58+M58,0)</f>
        <v>0</v>
      </c>
      <c r="O58" s="201" t="str">
        <f>IFERROR(ROUND(N58/'Direct Prof Sal &amp; Fringes  '!$L$8,8),"")</f>
        <v/>
      </c>
      <c r="P58" s="202" t="str">
        <f>IF(ISBLANK(O58),"",IFERROR(ROUND(O58*' Indirect Non-prof Sal &amp; Fringe'!$M$42,0),""))</f>
        <v/>
      </c>
      <c r="Q58" s="202" t="str">
        <f>IF(ISBLANK(O58),"",IFERROR(ROUND(O58*'Direct and Indirect Expenses'!$K$20,0),""))</f>
        <v/>
      </c>
      <c r="R58" s="308">
        <f>IFERROR(SUMIF('Direct and Indirect Expenses'!$B$14:$B$34,'Financial Summary &amp; Stats'!B58,'Direct and Indirect Expenses'!$H$14:$H$34)*N58/SUMIF('Financial Summary &amp; Stats'!$B:$B,'Financial Summary &amp; Stats'!B58,'Financial Summary &amp; Stats'!$N:$N),0)</f>
        <v>0</v>
      </c>
      <c r="S58" s="595"/>
      <c r="T58" s="202">
        <f>IFERROR(IF('Direct and Indirect Expenses'!$A$9="Other Indirect Allocation Method",(ROUND((N58+P58)/($N$8+$P$8)*'Direct and Indirect Expenses'!$C$9,0)),ROUND((N58+P58)*'Direct and Indirect Expenses'!$B$9,0)),0)</f>
        <v>0</v>
      </c>
      <c r="U58" s="202">
        <f>IFERROR(ROUND((T58+R58+Q58+P58+N58+S58),0),0)</f>
        <v>0</v>
      </c>
      <c r="V58" s="293" t="str">
        <f>IFERROR(ROUND(U58/F58,2),"")</f>
        <v/>
      </c>
    </row>
    <row r="59" spans="1:25" ht="20.100000000000001" customHeight="1" x14ac:dyDescent="0.2">
      <c r="A59" s="116" t="s">
        <v>70</v>
      </c>
      <c r="B59" s="122" t="s">
        <v>107</v>
      </c>
      <c r="C59" s="122"/>
      <c r="D59" s="123" t="str">
        <f t="array" ref="D59">IFERROR(INDEX('Crosswalk '!$C$9:$C$94,MATCH(1,(B59='Crosswalk '!$B$9:$B$94)*(E59='Crosswalk '!$G$9:$G$94),0)),"")</f>
        <v/>
      </c>
      <c r="E59" s="291" t="str">
        <f t="array" ref="E59">IFERROR(INDEX('Crosswalk '!$E$106:$E$125,MATCH(1,($A$52='Crosswalk '!$D$106:$D$125)*($C59='Crosswalk '!$F$106:$F$125),0)),"")</f>
        <v/>
      </c>
      <c r="F59" s="484"/>
      <c r="G59" s="185"/>
      <c r="H59" s="159" t="str">
        <f t="array" ref="H59">IFERROR(INDEX('Crosswalk '!$E$9:$E$103,MATCH(1,($B59='Crosswalk '!$B$9:$B$103)*($E59='Crosswalk '!$G$9:$G$103),0)),"")</f>
        <v/>
      </c>
      <c r="I59" s="125">
        <f t="shared" si="25"/>
        <v>0</v>
      </c>
      <c r="J59" s="126" t="str">
        <f t="shared" si="26"/>
        <v/>
      </c>
      <c r="K59" s="200">
        <f t="shared" si="27"/>
        <v>0</v>
      </c>
      <c r="L59" s="294">
        <f t="shared" ref="L59:L80" si="30">ROUND(K59*$B$54,0)</f>
        <v>0</v>
      </c>
      <c r="M59" s="295">
        <f t="shared" si="28"/>
        <v>0</v>
      </c>
      <c r="N59" s="186">
        <f t="shared" si="29"/>
        <v>0</v>
      </c>
      <c r="O59" s="201" t="str">
        <f>IFERROR(ROUND(N59/'Direct Prof Sal &amp; Fringes  '!$L$8,8),"")</f>
        <v/>
      </c>
      <c r="P59" s="186" t="str">
        <f>IF(ISBLANK(O59),"",IFERROR(ROUND(O59*' Indirect Non-prof Sal &amp; Fringe'!$M$42,0),""))</f>
        <v/>
      </c>
      <c r="Q59" s="186" t="str">
        <f>IF(ISBLANK(O59),"",IFERROR(ROUND(O59*'Direct and Indirect Expenses'!$K$20,0),""))</f>
        <v/>
      </c>
      <c r="R59" s="309">
        <f>IFERROR(SUMIF('Direct and Indirect Expenses'!$B$14:$B$34,'Financial Summary &amp; Stats'!B59,'Direct and Indirect Expenses'!$H$14:$H$34)*N59/SUMIF('Financial Summary &amp; Stats'!$B:$B,'Financial Summary &amp; Stats'!B59,'Financial Summary &amp; Stats'!$N:$N),0)</f>
        <v>0</v>
      </c>
      <c r="S59" s="595"/>
      <c r="T59" s="202">
        <f>IFERROR(IF('Direct and Indirect Expenses'!$A$9="Other Indirect Allocation Method",(ROUND((N59+P59)/($N$8+$P$8)*'Direct and Indirect Expenses'!$C$9,0)),ROUND((N59+P59)*'Direct and Indirect Expenses'!$B$9,0)),0)</f>
        <v>0</v>
      </c>
      <c r="U59" s="202">
        <f t="shared" ref="U59:U80" si="31">IFERROR(ROUND((T59+R59+Q59+P59+N59+S59),0),0)</f>
        <v>0</v>
      </c>
      <c r="V59" s="293" t="str">
        <f t="shared" ref="V59:V80" si="32">IFERROR(ROUND(U59/F59,2),"")</f>
        <v/>
      </c>
      <c r="Y59" s="128"/>
    </row>
    <row r="60" spans="1:25" ht="20.100000000000001" customHeight="1" x14ac:dyDescent="0.2">
      <c r="A60" s="116" t="s">
        <v>115</v>
      </c>
      <c r="B60" s="122" t="s">
        <v>71</v>
      </c>
      <c r="C60" s="122"/>
      <c r="D60" s="123" t="str">
        <f t="array" ref="D60">IFERROR(INDEX('Crosswalk '!$C$9:$C$94,MATCH(1,(B60='Crosswalk '!$B$9:$B$94)*(E60='Crosswalk '!$G$9:$G$94),0)),"")</f>
        <v/>
      </c>
      <c r="E60" s="291" t="str">
        <f t="array" ref="E60">IFERROR(INDEX('Crosswalk '!$E$106:$E$125,MATCH(1,($A$52='Crosswalk '!$D$106:$D$125)*($C60='Crosswalk '!$F$106:$F$125),0)),"")</f>
        <v/>
      </c>
      <c r="F60" s="484"/>
      <c r="G60" s="185"/>
      <c r="H60" s="159" t="str">
        <f t="array" ref="H60">IFERROR(INDEX('Crosswalk '!$E$9:$E$103,MATCH(1,($B60='Crosswalk '!$B$9:$B$103)*($E60='Crosswalk '!$G$9:$G$103),0)),"")</f>
        <v/>
      </c>
      <c r="I60" s="125">
        <f t="shared" si="25"/>
        <v>0</v>
      </c>
      <c r="J60" s="126" t="str">
        <f t="shared" si="26"/>
        <v/>
      </c>
      <c r="K60" s="200">
        <f t="shared" si="27"/>
        <v>0</v>
      </c>
      <c r="L60" s="294">
        <f t="shared" si="30"/>
        <v>0</v>
      </c>
      <c r="M60" s="295">
        <f t="shared" si="28"/>
        <v>0</v>
      </c>
      <c r="N60" s="186">
        <f t="shared" si="29"/>
        <v>0</v>
      </c>
      <c r="O60" s="201" t="str">
        <f>IFERROR(ROUND(N60/'Direct Prof Sal &amp; Fringes  '!$L$8,8),"")</f>
        <v/>
      </c>
      <c r="P60" s="186" t="str">
        <f>IF(ISBLANK(O60),"",IFERROR(ROUND(O60*' Indirect Non-prof Sal &amp; Fringe'!$M$42,0),""))</f>
        <v/>
      </c>
      <c r="Q60" s="186" t="str">
        <f>IF(ISBLANK(O60),"",IFERROR(ROUND(O60*'Direct and Indirect Expenses'!$K$20,0),""))</f>
        <v/>
      </c>
      <c r="R60" s="309">
        <f>IFERROR(SUMIF('Direct and Indirect Expenses'!$B$14:$B$34,'Financial Summary &amp; Stats'!B60,'Direct and Indirect Expenses'!$H$14:$H$34)*N60/SUMIF('Financial Summary &amp; Stats'!$B:$B,'Financial Summary &amp; Stats'!B60,'Financial Summary &amp; Stats'!$N:$N),0)</f>
        <v>0</v>
      </c>
      <c r="S60" s="595"/>
      <c r="T60" s="202">
        <f>IFERROR(IF('Direct and Indirect Expenses'!$A$9="Other Indirect Allocation Method",(ROUND((N60+P60)/($N$8+$P$8)*'Direct and Indirect Expenses'!$C$9,0)),ROUND((N60+P60)*'Direct and Indirect Expenses'!$B$9,0)),0)</f>
        <v>0</v>
      </c>
      <c r="U60" s="202">
        <f t="shared" si="31"/>
        <v>0</v>
      </c>
      <c r="V60" s="293" t="str">
        <f t="shared" si="32"/>
        <v/>
      </c>
      <c r="Y60" s="128"/>
    </row>
    <row r="61" spans="1:25" ht="20.100000000000001" customHeight="1" x14ac:dyDescent="0.2">
      <c r="A61" s="116" t="s">
        <v>118</v>
      </c>
      <c r="B61" s="122" t="s">
        <v>124</v>
      </c>
      <c r="C61" s="122"/>
      <c r="D61" s="123" t="str">
        <f t="array" ref="D61">IFERROR(INDEX('Crosswalk '!$C$9:$C$94,MATCH(1,(B61='Crosswalk '!$B$9:$B$94)*(E61='Crosswalk '!$G$9:$G$94),0)),"")</f>
        <v/>
      </c>
      <c r="E61" s="291" t="str">
        <f t="array" ref="E61">IFERROR(INDEX('Crosswalk '!$E$106:$E$125,MATCH(1,($A$52='Crosswalk '!$D$106:$D$125)*($C61='Crosswalk '!$F$106:$F$125),0)),"")</f>
        <v/>
      </c>
      <c r="F61" s="484"/>
      <c r="G61" s="185"/>
      <c r="H61" s="159" t="str">
        <f t="array" ref="H61">IFERROR(INDEX('Crosswalk '!$E$9:$E$103,MATCH(1,($B61='Crosswalk '!$B$9:$B$103)*($E61='Crosswalk '!$G$9:$G$103),0)),"")</f>
        <v/>
      </c>
      <c r="I61" s="125">
        <f t="shared" si="25"/>
        <v>0</v>
      </c>
      <c r="J61" s="126" t="str">
        <f t="shared" si="26"/>
        <v/>
      </c>
      <c r="K61" s="200">
        <f t="shared" si="27"/>
        <v>0</v>
      </c>
      <c r="L61" s="294">
        <f t="shared" si="30"/>
        <v>0</v>
      </c>
      <c r="M61" s="295">
        <f t="shared" si="28"/>
        <v>0</v>
      </c>
      <c r="N61" s="186">
        <f t="shared" si="29"/>
        <v>0</v>
      </c>
      <c r="O61" s="201" t="str">
        <f>IFERROR(ROUND(N61/'Direct Prof Sal &amp; Fringes  '!$L$8,8),"")</f>
        <v/>
      </c>
      <c r="P61" s="186" t="str">
        <f>IF(ISBLANK(O61),"",IFERROR(ROUND(O61*' Indirect Non-prof Sal &amp; Fringe'!$M$42,0),""))</f>
        <v/>
      </c>
      <c r="Q61" s="186" t="str">
        <f>IF(ISBLANK(O61),"",IFERROR(ROUND(O61*'Direct and Indirect Expenses'!$K$20,0),""))</f>
        <v/>
      </c>
      <c r="R61" s="309">
        <f>IFERROR(SUMIF('Direct and Indirect Expenses'!$B$14:$B$34,'Financial Summary &amp; Stats'!B61,'Direct and Indirect Expenses'!$H$14:$H$34)*N61/SUMIF('Financial Summary &amp; Stats'!$B:$B,'Financial Summary &amp; Stats'!B61,'Financial Summary &amp; Stats'!$N:$N),0)</f>
        <v>0</v>
      </c>
      <c r="S61" s="595"/>
      <c r="T61" s="202">
        <f>IFERROR(IF('Direct and Indirect Expenses'!$A$9="Other Indirect Allocation Method",(ROUND((N61+P61)/($N$8+$P$8)*'Direct and Indirect Expenses'!$C$9,0)),ROUND((N61+P61)*'Direct and Indirect Expenses'!$B$9,0)),0)</f>
        <v>0</v>
      </c>
      <c r="U61" s="202">
        <f t="shared" si="31"/>
        <v>0</v>
      </c>
      <c r="V61" s="293" t="str">
        <f t="shared" si="32"/>
        <v/>
      </c>
      <c r="Y61" s="128"/>
    </row>
    <row r="62" spans="1:25" ht="20.100000000000001" customHeight="1" x14ac:dyDescent="0.2">
      <c r="A62" s="116" t="s">
        <v>119</v>
      </c>
      <c r="B62" s="132" t="s">
        <v>126</v>
      </c>
      <c r="C62" s="122"/>
      <c r="D62" s="123" t="str">
        <f t="array" ref="D62">IFERROR(INDEX('Crosswalk '!$C$9:$C$94,MATCH(1,(B62='Crosswalk '!$B$9:$B$94)*(E62='Crosswalk '!$G$9:$G$94),0)),"")</f>
        <v/>
      </c>
      <c r="E62" s="291" t="str">
        <f t="array" ref="E62">IFERROR(INDEX('Crosswalk '!$E$106:$E$125,MATCH(1,($A$52='Crosswalk '!$D$106:$D$125)*($C62='Crosswalk '!$F$106:$F$125),0)),"")</f>
        <v/>
      </c>
      <c r="F62" s="484"/>
      <c r="G62" s="185"/>
      <c r="H62" s="159" t="str">
        <f t="array" ref="H62">IFERROR(INDEX('Crosswalk '!$E$9:$E$103,MATCH(1,($B62='Crosswalk '!$B$9:$B$103)*($E62='Crosswalk '!$G$9:$G$103),0)),"")</f>
        <v/>
      </c>
      <c r="I62" s="125">
        <f t="shared" si="25"/>
        <v>0</v>
      </c>
      <c r="J62" s="126" t="str">
        <f t="shared" si="26"/>
        <v/>
      </c>
      <c r="K62" s="200">
        <f t="shared" si="27"/>
        <v>0</v>
      </c>
      <c r="L62" s="294">
        <f t="shared" si="30"/>
        <v>0</v>
      </c>
      <c r="M62" s="295">
        <f t="shared" si="28"/>
        <v>0</v>
      </c>
      <c r="N62" s="186">
        <f t="shared" si="29"/>
        <v>0</v>
      </c>
      <c r="O62" s="201" t="str">
        <f>IFERROR(ROUND(N62/'Direct Prof Sal &amp; Fringes  '!$L$8,8),"")</f>
        <v/>
      </c>
      <c r="P62" s="186" t="str">
        <f>IF(ISBLANK(O62),"",IFERROR(ROUND(O62*' Indirect Non-prof Sal &amp; Fringe'!$M$42,0),""))</f>
        <v/>
      </c>
      <c r="Q62" s="186" t="str">
        <f>IF(ISBLANK(O62),"",IFERROR(ROUND(O62*'Direct and Indirect Expenses'!$K$20,0),""))</f>
        <v/>
      </c>
      <c r="R62" s="309">
        <f>IFERROR(SUMIF('Direct and Indirect Expenses'!$B$14:$B$34,'Financial Summary &amp; Stats'!B62,'Direct and Indirect Expenses'!$H$14:$H$34)*N62/SUMIF('Financial Summary &amp; Stats'!$B:$B,'Financial Summary &amp; Stats'!B62,'Financial Summary &amp; Stats'!$N:$N),0)</f>
        <v>0</v>
      </c>
      <c r="S62" s="595"/>
      <c r="T62" s="202">
        <f>IFERROR(IF('Direct and Indirect Expenses'!$A$9="Other Indirect Allocation Method",(ROUND((N62+P62)/($N$8+$P$8)*'Direct and Indirect Expenses'!$C$9,0)),ROUND((N62+P62)*'Direct and Indirect Expenses'!$B$9,0)),0)</f>
        <v>0</v>
      </c>
      <c r="U62" s="202">
        <f t="shared" si="31"/>
        <v>0</v>
      </c>
      <c r="V62" s="293" t="str">
        <f t="shared" si="32"/>
        <v/>
      </c>
      <c r="W62" s="51"/>
    </row>
    <row r="63" spans="1:25" ht="20.100000000000001" customHeight="1" x14ac:dyDescent="0.2">
      <c r="A63" s="116" t="s">
        <v>80</v>
      </c>
      <c r="B63" s="122" t="s">
        <v>81</v>
      </c>
      <c r="C63" s="122"/>
      <c r="D63" s="123" t="str">
        <f t="array" ref="D63">IFERROR(INDEX('Crosswalk '!$C$9:$C$94,MATCH(1,(B63='Crosswalk '!$B$9:$B$94)*(E63='Crosswalk '!$G$9:$G$94),0)),"")</f>
        <v/>
      </c>
      <c r="E63" s="291" t="str">
        <f t="array" ref="E63">IFERROR(INDEX('Crosswalk '!$E$106:$E$125,MATCH(1,($A$52='Crosswalk '!$D$106:$D$125)*($C63='Crosswalk '!$F$106:$F$125),0)),"")</f>
        <v/>
      </c>
      <c r="F63" s="484"/>
      <c r="G63" s="185"/>
      <c r="H63" s="159" t="str">
        <f t="array" ref="H63">IFERROR(INDEX('Crosswalk '!$E$9:$E$103,MATCH(1,($B63='Crosswalk '!$B$9:$B$103)*($E63='Crosswalk '!$G$9:$G$103),0)),"")</f>
        <v/>
      </c>
      <c r="I63" s="125">
        <f t="shared" si="25"/>
        <v>0</v>
      </c>
      <c r="J63" s="126" t="str">
        <f t="shared" si="26"/>
        <v/>
      </c>
      <c r="K63" s="200">
        <f t="shared" si="27"/>
        <v>0</v>
      </c>
      <c r="L63" s="294">
        <f t="shared" si="30"/>
        <v>0</v>
      </c>
      <c r="M63" s="295">
        <f t="shared" si="28"/>
        <v>0</v>
      </c>
      <c r="N63" s="186">
        <f t="shared" si="29"/>
        <v>0</v>
      </c>
      <c r="O63" s="201" t="str">
        <f>IFERROR(ROUND(N63/'Direct Prof Sal &amp; Fringes  '!$L$8,8),"")</f>
        <v/>
      </c>
      <c r="P63" s="186" t="str">
        <f>IF(ISBLANK(O63),"",IFERROR(ROUND(O63*' Indirect Non-prof Sal &amp; Fringe'!$M$42,0),""))</f>
        <v/>
      </c>
      <c r="Q63" s="186" t="str">
        <f>IF(ISBLANK(O63),"",IFERROR(ROUND(O63*'Direct and Indirect Expenses'!$K$20,0),""))</f>
        <v/>
      </c>
      <c r="R63" s="309">
        <f>IFERROR(SUMIF('Direct and Indirect Expenses'!$B$14:$B$34,'Financial Summary &amp; Stats'!B63,'Direct and Indirect Expenses'!$H$14:$H$34)*N63/SUMIF('Financial Summary &amp; Stats'!$B:$B,'Financial Summary &amp; Stats'!B63,'Financial Summary &amp; Stats'!$N:$N),0)</f>
        <v>0</v>
      </c>
      <c r="S63" s="595"/>
      <c r="T63" s="202">
        <f>IFERROR(IF('Direct and Indirect Expenses'!$A$9="Other Indirect Allocation Method",(ROUND((N63+P63)/($N$8+$P$8)*'Direct and Indirect Expenses'!$C$9,0)),ROUND((N63+P63)*'Direct and Indirect Expenses'!$B$9,0)),0)</f>
        <v>0</v>
      </c>
      <c r="U63" s="202">
        <f t="shared" si="31"/>
        <v>0</v>
      </c>
      <c r="V63" s="293" t="str">
        <f t="shared" si="32"/>
        <v/>
      </c>
      <c r="Y63" s="128"/>
    </row>
    <row r="64" spans="1:25" ht="20.100000000000001" customHeight="1" x14ac:dyDescent="0.2">
      <c r="A64" s="116" t="s">
        <v>111</v>
      </c>
      <c r="B64" s="122">
        <v>90846</v>
      </c>
      <c r="C64" s="122"/>
      <c r="D64" s="123" t="str">
        <f t="array" ref="D64">IFERROR(INDEX('Crosswalk '!$C$9:$C$94,MATCH(1,(B64='Crosswalk '!$B$9:$B$94)*(E64='Crosswalk '!$G$9:$G$94),0)),"")</f>
        <v/>
      </c>
      <c r="E64" s="291" t="str">
        <f t="array" ref="E64">IFERROR(INDEX('Crosswalk '!$E$106:$E$125,MATCH(1,($A$52='Crosswalk '!$D$106:$D$125)*($C64='Crosswalk '!$F$106:$F$125),0)),"")</f>
        <v/>
      </c>
      <c r="F64" s="484"/>
      <c r="G64" s="185"/>
      <c r="H64" s="159" t="str">
        <f t="array" ref="H64">IFERROR(INDEX('Crosswalk '!$E$9:$E$103,MATCH(1,($B64='Crosswalk '!$B$9:$B$103)*($E64='Crosswalk '!$G$9:$G$103),0)),"")</f>
        <v/>
      </c>
      <c r="I64" s="125">
        <f t="shared" si="25"/>
        <v>0</v>
      </c>
      <c r="J64" s="126" t="str">
        <f t="shared" si="26"/>
        <v/>
      </c>
      <c r="K64" s="200">
        <f t="shared" si="27"/>
        <v>0</v>
      </c>
      <c r="L64" s="294">
        <f t="shared" si="30"/>
        <v>0</v>
      </c>
      <c r="M64" s="295">
        <f t="shared" si="28"/>
        <v>0</v>
      </c>
      <c r="N64" s="186">
        <f t="shared" si="29"/>
        <v>0</v>
      </c>
      <c r="O64" s="201" t="str">
        <f>IFERROR(ROUND(N64/'Direct Prof Sal &amp; Fringes  '!$L$8,8),"")</f>
        <v/>
      </c>
      <c r="P64" s="186" t="str">
        <f>IF(ISBLANK(O64),"",IFERROR(ROUND(O64*' Indirect Non-prof Sal &amp; Fringe'!$M$42,0),""))</f>
        <v/>
      </c>
      <c r="Q64" s="186" t="str">
        <f>IF(ISBLANK(O64),"",IFERROR(ROUND(O64*'Direct and Indirect Expenses'!$K$20,0),""))</f>
        <v/>
      </c>
      <c r="R64" s="309">
        <f>IFERROR(SUMIF('Direct and Indirect Expenses'!$B$14:$B$34,'Financial Summary &amp; Stats'!B64,'Direct and Indirect Expenses'!$H$14:$H$34)*N64/SUMIF('Financial Summary &amp; Stats'!$B:$B,'Financial Summary &amp; Stats'!B64,'Financial Summary &amp; Stats'!$N:$N),0)</f>
        <v>0</v>
      </c>
      <c r="S64" s="595"/>
      <c r="T64" s="202">
        <f>IFERROR(IF('Direct and Indirect Expenses'!$A$9="Other Indirect Allocation Method",(ROUND((N64+P64)/($N$8+$P$8)*'Direct and Indirect Expenses'!$C$9,0)),ROUND((N64+P64)*'Direct and Indirect Expenses'!$B$9,0)),0)</f>
        <v>0</v>
      </c>
      <c r="U64" s="202">
        <f t="shared" si="31"/>
        <v>0</v>
      </c>
      <c r="V64" s="293" t="str">
        <f t="shared" si="32"/>
        <v/>
      </c>
      <c r="Y64" s="128"/>
    </row>
    <row r="65" spans="1:25" ht="20.100000000000001" customHeight="1" x14ac:dyDescent="0.2">
      <c r="A65" s="116" t="s">
        <v>112</v>
      </c>
      <c r="B65" s="122">
        <v>90847</v>
      </c>
      <c r="C65" s="122"/>
      <c r="D65" s="123" t="str">
        <f t="array" ref="D65">IFERROR(INDEX('Crosswalk '!$C$9:$C$94,MATCH(1,(B65='Crosswalk '!$B$9:$B$94)*(E65='Crosswalk '!$G$9:$G$94),0)),"")</f>
        <v/>
      </c>
      <c r="E65" s="291" t="str">
        <f t="array" ref="E65">IFERROR(INDEX('Crosswalk '!$E$106:$E$125,MATCH(1,($A$52='Crosswalk '!$D$106:$D$125)*($C65='Crosswalk '!$F$106:$F$125),0)),"")</f>
        <v/>
      </c>
      <c r="F65" s="484"/>
      <c r="G65" s="185"/>
      <c r="H65" s="159" t="str">
        <f t="array" ref="H65">IFERROR(INDEX('Crosswalk '!$E$9:$E$103,MATCH(1,($B65='Crosswalk '!$B$9:$B$103)*($E65='Crosswalk '!$G$9:$G$103),0)),"")</f>
        <v/>
      </c>
      <c r="I65" s="125">
        <f t="shared" si="25"/>
        <v>0</v>
      </c>
      <c r="J65" s="126" t="str">
        <f t="shared" si="26"/>
        <v/>
      </c>
      <c r="K65" s="200">
        <f t="shared" si="27"/>
        <v>0</v>
      </c>
      <c r="L65" s="294">
        <f t="shared" si="30"/>
        <v>0</v>
      </c>
      <c r="M65" s="295">
        <f t="shared" si="28"/>
        <v>0</v>
      </c>
      <c r="N65" s="186">
        <f t="shared" si="29"/>
        <v>0</v>
      </c>
      <c r="O65" s="201" t="str">
        <f>IFERROR(ROUND(N65/'Direct Prof Sal &amp; Fringes  '!$L$8,8),"")</f>
        <v/>
      </c>
      <c r="P65" s="186" t="str">
        <f>IF(ISBLANK(O65),"",IFERROR(ROUND(O65*' Indirect Non-prof Sal &amp; Fringe'!$M$42,0),""))</f>
        <v/>
      </c>
      <c r="Q65" s="186" t="str">
        <f>IF(ISBLANK(O65),"",IFERROR(ROUND(O65*'Direct and Indirect Expenses'!$K$20,0),""))</f>
        <v/>
      </c>
      <c r="R65" s="309">
        <f>IFERROR(SUMIF('Direct and Indirect Expenses'!$B$14:$B$34,'Financial Summary &amp; Stats'!B65,'Direct and Indirect Expenses'!$H$14:$H$34)*N65/SUMIF('Financial Summary &amp; Stats'!$B:$B,'Financial Summary &amp; Stats'!B65,'Financial Summary &amp; Stats'!$N:$N),0)</f>
        <v>0</v>
      </c>
      <c r="S65" s="595"/>
      <c r="T65" s="202">
        <f>IFERROR(IF('Direct and Indirect Expenses'!$A$9="Other Indirect Allocation Method",(ROUND((N65+P65)/($N$8+$P$8)*'Direct and Indirect Expenses'!$C$9,0)),ROUND((N65+P65)*'Direct and Indirect Expenses'!$B$9,0)),0)</f>
        <v>0</v>
      </c>
      <c r="U65" s="202">
        <f t="shared" si="31"/>
        <v>0</v>
      </c>
      <c r="V65" s="293" t="str">
        <f t="shared" si="32"/>
        <v/>
      </c>
      <c r="Y65" s="128"/>
    </row>
    <row r="66" spans="1:25" ht="20.100000000000001" customHeight="1" x14ac:dyDescent="0.2">
      <c r="A66" s="116" t="s">
        <v>72</v>
      </c>
      <c r="B66" s="122">
        <v>90853</v>
      </c>
      <c r="C66" s="122"/>
      <c r="D66" s="123" t="str">
        <f t="array" ref="D66">IFERROR(INDEX('Crosswalk '!$C$9:$C$94,MATCH(1,(B66='Crosswalk '!$B$9:$B$94)*(E66='Crosswalk '!$G$9:$G$94),0)),"")</f>
        <v/>
      </c>
      <c r="E66" s="291" t="str">
        <f t="array" ref="E66">IFERROR(INDEX('Crosswalk '!$E$106:$E$125,MATCH(1,($A$52='Crosswalk '!$D$106:$D$125)*($C66='Crosswalk '!$F$106:$F$125),0)),"")</f>
        <v/>
      </c>
      <c r="F66" s="484"/>
      <c r="G66" s="486"/>
      <c r="H66" s="159" t="str">
        <f t="array" ref="H66">IFERROR(INDEX('Crosswalk '!$E$9:$E$103,MATCH(1,($B66='Crosswalk '!$B$9:$B$103)*($E66='Crosswalk '!$G$9:$G$103),0)),"")</f>
        <v/>
      </c>
      <c r="I66" s="166"/>
      <c r="J66" s="126" t="str">
        <f t="shared" si="26"/>
        <v/>
      </c>
      <c r="K66" s="200">
        <f t="shared" si="27"/>
        <v>0</v>
      </c>
      <c r="L66" s="294">
        <f t="shared" si="30"/>
        <v>0</v>
      </c>
      <c r="M66" s="295">
        <f t="shared" si="28"/>
        <v>0</v>
      </c>
      <c r="N66" s="186">
        <f t="shared" si="29"/>
        <v>0</v>
      </c>
      <c r="O66" s="201" t="str">
        <f>IFERROR(ROUND(N66/'Direct Prof Sal &amp; Fringes  '!$L$8,8),"")</f>
        <v/>
      </c>
      <c r="P66" s="186" t="str">
        <f>IF(ISBLANK(O66),"",IFERROR(ROUND(O66*' Indirect Non-prof Sal &amp; Fringe'!$M$42,0),""))</f>
        <v/>
      </c>
      <c r="Q66" s="186" t="str">
        <f>IF(ISBLANK(O66),"",IFERROR(ROUND(O66*'Direct and Indirect Expenses'!$K$20,0),""))</f>
        <v/>
      </c>
      <c r="R66" s="309">
        <f>IFERROR(SUMIF('Direct and Indirect Expenses'!$B$14:$B$34,'Financial Summary &amp; Stats'!B66,'Direct and Indirect Expenses'!$H$14:$H$34)*N66/SUMIF('Financial Summary &amp; Stats'!$B:$B,'Financial Summary &amp; Stats'!B66,'Financial Summary &amp; Stats'!$N:$N),0)</f>
        <v>0</v>
      </c>
      <c r="S66" s="595"/>
      <c r="T66" s="202">
        <f>IFERROR(IF('Direct and Indirect Expenses'!$A$9="Other Indirect Allocation Method",(ROUND((N66+P66)/($N$8+$P$8)*'Direct and Indirect Expenses'!$C$9,0)),ROUND((N66+P66)*'Direct and Indirect Expenses'!$B$9,0)),0)</f>
        <v>0</v>
      </c>
      <c r="U66" s="202">
        <f t="shared" si="31"/>
        <v>0</v>
      </c>
      <c r="V66" s="293" t="str">
        <f t="shared" si="32"/>
        <v/>
      </c>
      <c r="Y66" s="128"/>
    </row>
    <row r="67" spans="1:25" ht="20.100000000000001" customHeight="1" x14ac:dyDescent="0.2">
      <c r="A67" s="116" t="s">
        <v>127</v>
      </c>
      <c r="B67" s="122">
        <v>90832</v>
      </c>
      <c r="C67" s="122"/>
      <c r="D67" s="123" t="str">
        <f t="array" ref="D67">IFERROR(INDEX('Crosswalk '!$C$9:$C$94,MATCH(1,(B67='Crosswalk '!$B$9:$B$94)*(E67='Crosswalk '!$G$9:$G$94),0)),"")</f>
        <v/>
      </c>
      <c r="E67" s="291" t="str">
        <f t="array" ref="E67">IFERROR(INDEX('Crosswalk '!$E$106:$E$125,MATCH(1,($A$52='Crosswalk '!$D$106:$D$125)*($C67='Crosswalk '!$F$106:$F$125),0)),"")</f>
        <v/>
      </c>
      <c r="F67" s="484"/>
      <c r="G67" s="181"/>
      <c r="H67" s="159" t="str">
        <f t="array" ref="H67">IFERROR(INDEX('Crosswalk '!$E$9:$E$103,MATCH(1,($B67='Crosswalk '!$B$9:$B$103)*($E67='Crosswalk '!$G$9:$G$103),0)),"")</f>
        <v/>
      </c>
      <c r="I67" s="125">
        <f t="shared" ref="I67:I75" si="33">IFERROR(ROUND(F67*H67,2),0)</f>
        <v>0</v>
      </c>
      <c r="J67" s="126" t="str">
        <f t="shared" si="26"/>
        <v/>
      </c>
      <c r="K67" s="200">
        <f t="shared" si="27"/>
        <v>0</v>
      </c>
      <c r="L67" s="294">
        <f t="shared" si="30"/>
        <v>0</v>
      </c>
      <c r="M67" s="295">
        <f t="shared" si="28"/>
        <v>0</v>
      </c>
      <c r="N67" s="186">
        <f t="shared" si="29"/>
        <v>0</v>
      </c>
      <c r="O67" s="201" t="str">
        <f>IFERROR(ROUND(N67/'Direct Prof Sal &amp; Fringes  '!$L$8,8),"")</f>
        <v/>
      </c>
      <c r="P67" s="186" t="str">
        <f>IF(ISBLANK(O67),"",IFERROR(ROUND(O67*' Indirect Non-prof Sal &amp; Fringe'!$M$42,0),""))</f>
        <v/>
      </c>
      <c r="Q67" s="186" t="str">
        <f>IF(ISBLANK(O67),"",IFERROR(ROUND(O67*'Direct and Indirect Expenses'!$K$20,0),""))</f>
        <v/>
      </c>
      <c r="R67" s="309">
        <f>IFERROR(SUMIF('Direct and Indirect Expenses'!$B$14:$B$34,'Financial Summary &amp; Stats'!B67,'Direct and Indirect Expenses'!$H$14:$H$34)*N67/SUMIF('Financial Summary &amp; Stats'!$B:$B,'Financial Summary &amp; Stats'!B67,'Financial Summary &amp; Stats'!$N:$N),0)</f>
        <v>0</v>
      </c>
      <c r="S67" s="595"/>
      <c r="T67" s="202">
        <f>IFERROR(IF('Direct and Indirect Expenses'!$A$9="Other Indirect Allocation Method",(ROUND((N67+P67)/($N$8+$P$8)*'Direct and Indirect Expenses'!$C$9,0)),ROUND((N67+P67)*'Direct and Indirect Expenses'!$B$9,0)),0)</f>
        <v>0</v>
      </c>
      <c r="U67" s="202">
        <f t="shared" si="31"/>
        <v>0</v>
      </c>
      <c r="V67" s="293" t="str">
        <f t="shared" si="32"/>
        <v/>
      </c>
      <c r="Y67" s="128"/>
    </row>
    <row r="68" spans="1:25" ht="20.100000000000001" customHeight="1" x14ac:dyDescent="0.2">
      <c r="A68" s="116" t="s">
        <v>128</v>
      </c>
      <c r="B68" s="122">
        <v>90834</v>
      </c>
      <c r="C68" s="122"/>
      <c r="D68" s="123" t="str">
        <f t="array" ref="D68">IFERROR(INDEX('Crosswalk '!$C$9:$C$94,MATCH(1,(B68='Crosswalk '!$B$9:$B$94)*(E68='Crosswalk '!$G$9:$G$94),0)),"")</f>
        <v/>
      </c>
      <c r="E68" s="291" t="str">
        <f t="array" ref="E68">IFERROR(INDEX('Crosswalk '!$E$106:$E$125,MATCH(1,($A$52='Crosswalk '!$D$106:$D$125)*($C68='Crosswalk '!$F$106:$F$125),0)),"")</f>
        <v/>
      </c>
      <c r="F68" s="484"/>
      <c r="G68" s="181"/>
      <c r="H68" s="159" t="str">
        <f t="array" ref="H68">IFERROR(INDEX('Crosswalk '!$E$9:$E$103,MATCH(1,($B68='Crosswalk '!$B$9:$B$103)*($E68='Crosswalk '!$G$9:$G$103),0)),"")</f>
        <v/>
      </c>
      <c r="I68" s="125">
        <f t="shared" si="33"/>
        <v>0</v>
      </c>
      <c r="J68" s="126" t="str">
        <f t="shared" si="26"/>
        <v/>
      </c>
      <c r="K68" s="200">
        <f t="shared" si="27"/>
        <v>0</v>
      </c>
      <c r="L68" s="294">
        <f t="shared" si="30"/>
        <v>0</v>
      </c>
      <c r="M68" s="295">
        <f t="shared" si="28"/>
        <v>0</v>
      </c>
      <c r="N68" s="186">
        <f t="shared" si="29"/>
        <v>0</v>
      </c>
      <c r="O68" s="201" t="str">
        <f>IFERROR(ROUND(N68/'Direct Prof Sal &amp; Fringes  '!$L$8,8),"")</f>
        <v/>
      </c>
      <c r="P68" s="186" t="str">
        <f>IF(ISBLANK(O68),"",IFERROR(ROUND(O68*' Indirect Non-prof Sal &amp; Fringe'!$M$42,0),""))</f>
        <v/>
      </c>
      <c r="Q68" s="186" t="str">
        <f>IF(ISBLANK(O68),"",IFERROR(ROUND(O68*'Direct and Indirect Expenses'!$K$20,0),""))</f>
        <v/>
      </c>
      <c r="R68" s="309">
        <f>IFERROR(SUMIF('Direct and Indirect Expenses'!$B$14:$B$34,'Financial Summary &amp; Stats'!B68,'Direct and Indirect Expenses'!$H$14:$H$34)*N68/SUMIF('Financial Summary &amp; Stats'!$B:$B,'Financial Summary &amp; Stats'!B68,'Financial Summary &amp; Stats'!$N:$N),0)</f>
        <v>0</v>
      </c>
      <c r="S68" s="595"/>
      <c r="T68" s="202">
        <f>IFERROR(IF('Direct and Indirect Expenses'!$A$9="Other Indirect Allocation Method",(ROUND((N68+P68)/($N$8+$P$8)*'Direct and Indirect Expenses'!$C$9,0)),ROUND((N68+P68)*'Direct and Indirect Expenses'!$B$9,0)),0)</f>
        <v>0</v>
      </c>
      <c r="U68" s="202">
        <f t="shared" si="31"/>
        <v>0</v>
      </c>
      <c r="V68" s="293" t="str">
        <f t="shared" si="32"/>
        <v/>
      </c>
      <c r="Y68" s="128"/>
    </row>
    <row r="69" spans="1:25" ht="20.100000000000001" customHeight="1" x14ac:dyDescent="0.2">
      <c r="A69" s="116" t="s">
        <v>129</v>
      </c>
      <c r="B69" s="122">
        <v>90837</v>
      </c>
      <c r="C69" s="122"/>
      <c r="D69" s="123" t="str">
        <f t="array" ref="D69">IFERROR(INDEX('Crosswalk '!$C$9:$C$94,MATCH(1,(B69='Crosswalk '!$B$9:$B$94)*(E69='Crosswalk '!$G$9:$G$94),0)),"")</f>
        <v/>
      </c>
      <c r="E69" s="291" t="str">
        <f t="array" ref="E69">IFERROR(INDEX('Crosswalk '!$E$106:$E$125,MATCH(1,($A$52='Crosswalk '!$D$106:$D$125)*($C69='Crosswalk '!$F$106:$F$125),0)),"")</f>
        <v/>
      </c>
      <c r="F69" s="484"/>
      <c r="G69" s="181"/>
      <c r="H69" s="159" t="str">
        <f t="array" ref="H69">IFERROR(INDEX('Crosswalk '!$E$9:$E$103,MATCH(1,($B69='Crosswalk '!$B$9:$B$103)*($E69='Crosswalk '!$G$9:$G$103),0)),"")</f>
        <v/>
      </c>
      <c r="I69" s="125">
        <f t="shared" si="33"/>
        <v>0</v>
      </c>
      <c r="J69" s="126" t="str">
        <f t="shared" si="26"/>
        <v/>
      </c>
      <c r="K69" s="200">
        <f t="shared" si="27"/>
        <v>0</v>
      </c>
      <c r="L69" s="294">
        <f t="shared" si="30"/>
        <v>0</v>
      </c>
      <c r="M69" s="295">
        <f t="shared" si="28"/>
        <v>0</v>
      </c>
      <c r="N69" s="186">
        <f t="shared" si="29"/>
        <v>0</v>
      </c>
      <c r="O69" s="201" t="str">
        <f>IFERROR(ROUND(N69/'Direct Prof Sal &amp; Fringes  '!$L$8,8),"")</f>
        <v/>
      </c>
      <c r="P69" s="186" t="str">
        <f>IF(ISBLANK(O69),"",IFERROR(ROUND(O69*' Indirect Non-prof Sal &amp; Fringe'!$M$42,0),""))</f>
        <v/>
      </c>
      <c r="Q69" s="186" t="str">
        <f>IF(ISBLANK(O69),"",IFERROR(ROUND(O69*'Direct and Indirect Expenses'!$K$20,0),""))</f>
        <v/>
      </c>
      <c r="R69" s="309">
        <f>IFERROR(SUMIF('Direct and Indirect Expenses'!$B$14:$B$34,'Financial Summary &amp; Stats'!B69,'Direct and Indirect Expenses'!$H$14:$H$34)*N69/SUMIF('Financial Summary &amp; Stats'!$B:$B,'Financial Summary &amp; Stats'!B69,'Financial Summary &amp; Stats'!$N:$N),0)</f>
        <v>0</v>
      </c>
      <c r="S69" s="595"/>
      <c r="T69" s="202">
        <f>IFERROR(IF('Direct and Indirect Expenses'!$A$9="Other Indirect Allocation Method",(ROUND((N69+P69)/($N$8+$P$8)*'Direct and Indirect Expenses'!$C$9,0)),ROUND((N69+P69)*'Direct and Indirect Expenses'!$B$9,0)),0)</f>
        <v>0</v>
      </c>
      <c r="U69" s="202">
        <f t="shared" si="31"/>
        <v>0</v>
      </c>
      <c r="V69" s="293" t="str">
        <f t="shared" si="32"/>
        <v/>
      </c>
      <c r="Y69" s="128"/>
    </row>
    <row r="70" spans="1:25" ht="20.100000000000001" customHeight="1" x14ac:dyDescent="0.2">
      <c r="A70" s="116" t="s">
        <v>114</v>
      </c>
      <c r="B70" s="122" t="s">
        <v>113</v>
      </c>
      <c r="C70" s="122"/>
      <c r="D70" s="123" t="str">
        <f t="array" ref="D70">IFERROR(INDEX('Crosswalk '!$C$9:$C$94,MATCH(1,(B70='Crosswalk '!$B$9:$B$94)*(E70='Crosswalk '!$G$9:$G$94),0)),"")</f>
        <v/>
      </c>
      <c r="E70" s="291" t="str">
        <f t="array" ref="E70">IFERROR(INDEX('Crosswalk '!$E$106:$E$125,MATCH(1,($A$52='Crosswalk '!$D$106:$D$125)*($C70='Crosswalk '!$F$106:$F$125),0)),"")</f>
        <v/>
      </c>
      <c r="F70" s="484"/>
      <c r="G70" s="181"/>
      <c r="H70" s="159" t="str">
        <f t="array" ref="H70">IFERROR(INDEX('Crosswalk '!$E$9:$E$103,MATCH(1,($B70='Crosswalk '!$B$9:$B$103)*($E70='Crosswalk '!$G$9:$G$103),0)),"")</f>
        <v/>
      </c>
      <c r="I70" s="125">
        <f t="shared" si="33"/>
        <v>0</v>
      </c>
      <c r="J70" s="126" t="str">
        <f t="shared" si="26"/>
        <v/>
      </c>
      <c r="K70" s="200">
        <f t="shared" si="27"/>
        <v>0</v>
      </c>
      <c r="L70" s="294">
        <f t="shared" si="30"/>
        <v>0</v>
      </c>
      <c r="M70" s="295">
        <f t="shared" si="28"/>
        <v>0</v>
      </c>
      <c r="N70" s="186">
        <f t="shared" si="29"/>
        <v>0</v>
      </c>
      <c r="O70" s="201" t="str">
        <f>IFERROR(ROUND(N70/'Direct Prof Sal &amp; Fringes  '!$L$8,8),"")</f>
        <v/>
      </c>
      <c r="P70" s="186" t="str">
        <f>IF(ISBLANK(O70),"",IFERROR(ROUND(O70*' Indirect Non-prof Sal &amp; Fringe'!$M$42,0),""))</f>
        <v/>
      </c>
      <c r="Q70" s="186" t="str">
        <f>IF(ISBLANK(O70),"",IFERROR(ROUND(O70*'Direct and Indirect Expenses'!$K$20,0),""))</f>
        <v/>
      </c>
      <c r="R70" s="309">
        <f>IFERROR(SUMIF('Direct and Indirect Expenses'!$B$14:$B$34,'Financial Summary &amp; Stats'!B70,'Direct and Indirect Expenses'!$H$14:$H$34)*N70/SUMIF('Financial Summary &amp; Stats'!$B:$B,'Financial Summary &amp; Stats'!B70,'Financial Summary &amp; Stats'!$N:$N),0)</f>
        <v>0</v>
      </c>
      <c r="S70" s="595"/>
      <c r="T70" s="202">
        <f>IFERROR(IF('Direct and Indirect Expenses'!$A$9="Other Indirect Allocation Method",(ROUND((N70+P70)/($N$8+$P$8)*'Direct and Indirect Expenses'!$C$9,0)),ROUND((N70+P70)*'Direct and Indirect Expenses'!$B$9,0)),0)</f>
        <v>0</v>
      </c>
      <c r="U70" s="202">
        <f t="shared" si="31"/>
        <v>0</v>
      </c>
      <c r="V70" s="293" t="str">
        <f t="shared" si="32"/>
        <v/>
      </c>
      <c r="Y70" s="128"/>
    </row>
    <row r="71" spans="1:25" ht="20.100000000000001" customHeight="1" x14ac:dyDescent="0.2">
      <c r="A71" s="116" t="s">
        <v>130</v>
      </c>
      <c r="B71" s="122">
        <v>90849</v>
      </c>
      <c r="C71" s="122"/>
      <c r="D71" s="123" t="str">
        <f t="array" ref="D71">IFERROR(INDEX('Crosswalk '!$C$9:$C$94,MATCH(1,(B71='Crosswalk '!$B$9:$B$94)*(E71='Crosswalk '!$G$9:$G$94),0)),"")</f>
        <v/>
      </c>
      <c r="E71" s="291" t="str">
        <f t="array" ref="E71">IFERROR(INDEX('Crosswalk '!$E$106:$E$125,MATCH(1,($A$52='Crosswalk '!$D$106:$D$125)*($C71='Crosswalk '!$F$106:$F$125),0)),"")</f>
        <v/>
      </c>
      <c r="F71" s="484"/>
      <c r="G71" s="181"/>
      <c r="H71" s="159" t="str">
        <f t="array" ref="H71">IFERROR(INDEX('Crosswalk '!$E$9:$E$103,MATCH(1,($B71='Crosswalk '!$B$9:$B$103)*($E71='Crosswalk '!$G$9:$G$103),0)),"")</f>
        <v/>
      </c>
      <c r="I71" s="125">
        <f t="shared" si="33"/>
        <v>0</v>
      </c>
      <c r="J71" s="126" t="str">
        <f t="shared" si="26"/>
        <v/>
      </c>
      <c r="K71" s="200">
        <f t="shared" si="27"/>
        <v>0</v>
      </c>
      <c r="L71" s="294">
        <f t="shared" si="30"/>
        <v>0</v>
      </c>
      <c r="M71" s="295">
        <f t="shared" si="28"/>
        <v>0</v>
      </c>
      <c r="N71" s="186">
        <f t="shared" si="29"/>
        <v>0</v>
      </c>
      <c r="O71" s="201" t="str">
        <f>IFERROR(ROUND(N71/'Direct Prof Sal &amp; Fringes  '!$L$8,8),"")</f>
        <v/>
      </c>
      <c r="P71" s="186" t="str">
        <f>IF(ISBLANK(O71),"",IFERROR(ROUND(O71*' Indirect Non-prof Sal &amp; Fringe'!$M$42,0),""))</f>
        <v/>
      </c>
      <c r="Q71" s="186" t="str">
        <f>IF(ISBLANK(O71),"",IFERROR(ROUND(O71*'Direct and Indirect Expenses'!$K$20,0),""))</f>
        <v/>
      </c>
      <c r="R71" s="309">
        <f>IFERROR(SUMIF('Direct and Indirect Expenses'!$B$14:$B$34,'Financial Summary &amp; Stats'!B71,'Direct and Indirect Expenses'!$H$14:$H$34)*N71/SUMIF('Financial Summary &amp; Stats'!$B:$B,'Financial Summary &amp; Stats'!B71,'Financial Summary &amp; Stats'!$N:$N),0)</f>
        <v>0</v>
      </c>
      <c r="S71" s="595"/>
      <c r="T71" s="202">
        <f>IFERROR(IF('Direct and Indirect Expenses'!$A$9="Other Indirect Allocation Method",(ROUND((N71+P71)/($N$8+$P$8)*'Direct and Indirect Expenses'!$C$9,0)),ROUND((N71+P71)*'Direct and Indirect Expenses'!$B$9,0)),0)</f>
        <v>0</v>
      </c>
      <c r="U71" s="202">
        <f t="shared" si="31"/>
        <v>0</v>
      </c>
      <c r="V71" s="293" t="str">
        <f t="shared" si="32"/>
        <v/>
      </c>
      <c r="Y71" s="128"/>
    </row>
    <row r="72" spans="1:25" ht="20.100000000000001" customHeight="1" x14ac:dyDescent="0.2">
      <c r="A72" s="116" t="s">
        <v>83</v>
      </c>
      <c r="B72" s="122" t="s">
        <v>84</v>
      </c>
      <c r="C72" s="122"/>
      <c r="D72" s="123">
        <f t="array" ref="D72">IFERROR(INDEX('Crosswalk '!$C$9:$C$94,MATCH(1,(B72='Crosswalk '!$B$9:$B$94)*(E72='Crosswalk '!$G$9:$G$94),0)),"")</f>
        <v>0</v>
      </c>
      <c r="E72" s="291" t="str">
        <f t="array" ref="E72">IFERROR(INDEX('Crosswalk '!$E$106:$E$125,MATCH(1,($A$52='Crosswalk '!$D$106:$D$125)*($C72='Crosswalk '!$F$106:$F$125),0)),"")</f>
        <v/>
      </c>
      <c r="F72" s="484"/>
      <c r="G72" s="181"/>
      <c r="H72" s="159">
        <f t="array" ref="H72">IFERROR(INDEX('Crosswalk '!$E$9:$E$103,MATCH(1,($B72='Crosswalk '!$B$9:$B$103)*($E72='Crosswalk '!$G$9:$G$103),0)),"")</f>
        <v>0.25</v>
      </c>
      <c r="I72" s="125">
        <f t="shared" si="33"/>
        <v>0</v>
      </c>
      <c r="J72" s="126">
        <f t="shared" si="26"/>
        <v>0</v>
      </c>
      <c r="K72" s="200">
        <f t="shared" si="27"/>
        <v>0</v>
      </c>
      <c r="L72" s="294">
        <f t="shared" si="30"/>
        <v>0</v>
      </c>
      <c r="M72" s="295">
        <f t="shared" si="28"/>
        <v>0</v>
      </c>
      <c r="N72" s="186">
        <f t="shared" si="29"/>
        <v>0</v>
      </c>
      <c r="O72" s="201" t="str">
        <f>IFERROR(ROUND(N72/'Direct Prof Sal &amp; Fringes  '!$L$8,8),"")</f>
        <v/>
      </c>
      <c r="P72" s="186" t="str">
        <f>IF(ISBLANK(O72),"",IFERROR(ROUND(O72*' Indirect Non-prof Sal &amp; Fringe'!$M$42,0),""))</f>
        <v/>
      </c>
      <c r="Q72" s="186" t="str">
        <f>IF(ISBLANK(O72),"",IFERROR(ROUND(O72*'Direct and Indirect Expenses'!$K$20,0),""))</f>
        <v/>
      </c>
      <c r="R72" s="309">
        <f>IFERROR(SUMIF('Direct and Indirect Expenses'!$B$14:$B$34,'Financial Summary &amp; Stats'!B72,'Direct and Indirect Expenses'!$H$14:$H$34)*N72/SUMIF('Financial Summary &amp; Stats'!$B:$B,'Financial Summary &amp; Stats'!B72,'Financial Summary &amp; Stats'!$N:$N),0)</f>
        <v>0</v>
      </c>
      <c r="S72" s="595"/>
      <c r="T72" s="202">
        <f>IFERROR(IF('Direct and Indirect Expenses'!$A$9="Other Indirect Allocation Method",(ROUND((N72+P72)/($N$8+$P$8)*'Direct and Indirect Expenses'!$C$9,0)),ROUND((N72+P72)*'Direct and Indirect Expenses'!$B$9,0)),0)</f>
        <v>0</v>
      </c>
      <c r="U72" s="202">
        <f t="shared" si="31"/>
        <v>0</v>
      </c>
      <c r="V72" s="293" t="str">
        <f t="shared" si="32"/>
        <v/>
      </c>
      <c r="Y72" s="128"/>
    </row>
    <row r="73" spans="1:25" ht="20.100000000000001" customHeight="1" x14ac:dyDescent="0.2">
      <c r="A73" s="116" t="s">
        <v>132</v>
      </c>
      <c r="B73" s="122">
        <v>90792</v>
      </c>
      <c r="C73" s="122"/>
      <c r="D73" s="123" t="str">
        <f t="array" ref="D73">IFERROR(INDEX('Crosswalk '!$C$9:$C$94,MATCH(1,(B73='Crosswalk '!$B$9:$B$94)*(E73='Crosswalk '!$G$9:$G$94),0)),"")</f>
        <v/>
      </c>
      <c r="E73" s="291" t="str">
        <f t="array" ref="E73">IFERROR(INDEX('Crosswalk '!$E$106:$E$125,MATCH(1,($A$52='Crosswalk '!$D$106:$D$125)*($C73='Crosswalk '!$F$106:$F$125),0)),"")</f>
        <v/>
      </c>
      <c r="F73" s="484"/>
      <c r="G73" s="181"/>
      <c r="H73" s="159" t="str">
        <f t="array" ref="H73">IFERROR(INDEX('Crosswalk '!$E$9:$E$103,MATCH(1,($B73='Crosswalk '!$B$9:$B$103)*($E73='Crosswalk '!$G$9:$G$103),0)),"")</f>
        <v/>
      </c>
      <c r="I73" s="125">
        <f t="shared" si="33"/>
        <v>0</v>
      </c>
      <c r="J73" s="126" t="str">
        <f t="shared" si="26"/>
        <v/>
      </c>
      <c r="K73" s="200">
        <f t="shared" si="27"/>
        <v>0</v>
      </c>
      <c r="L73" s="294">
        <f t="shared" si="30"/>
        <v>0</v>
      </c>
      <c r="M73" s="295">
        <f t="shared" si="28"/>
        <v>0</v>
      </c>
      <c r="N73" s="186">
        <f t="shared" si="29"/>
        <v>0</v>
      </c>
      <c r="O73" s="201" t="str">
        <f>IFERROR(ROUND(N73/'Direct Prof Sal &amp; Fringes  '!$L$8,8),"")</f>
        <v/>
      </c>
      <c r="P73" s="186" t="str">
        <f>IF(ISBLANK(O73),"",IFERROR(ROUND(O73*' Indirect Non-prof Sal &amp; Fringe'!$M$42,0),""))</f>
        <v/>
      </c>
      <c r="Q73" s="186" t="str">
        <f>IF(ISBLANK(O73),"",IFERROR(ROUND(O73*'Direct and Indirect Expenses'!$K$20,0),""))</f>
        <v/>
      </c>
      <c r="R73" s="309">
        <f>IFERROR(SUMIF('Direct and Indirect Expenses'!$B$14:$B$34,'Financial Summary &amp; Stats'!B73,'Direct and Indirect Expenses'!$H$14:$H$34)*N73/SUMIF('Financial Summary &amp; Stats'!$B:$B,'Financial Summary &amp; Stats'!B73,'Financial Summary &amp; Stats'!$N:$N),0)</f>
        <v>0</v>
      </c>
      <c r="S73" s="595"/>
      <c r="T73" s="202">
        <f>IFERROR(IF('Direct and Indirect Expenses'!$A$9="Other Indirect Allocation Method",(ROUND((N73+P73)/($N$8+$P$8)*'Direct and Indirect Expenses'!$C$9,0)),ROUND((N73+P73)*'Direct and Indirect Expenses'!$B$9,0)),0)</f>
        <v>0</v>
      </c>
      <c r="U73" s="202">
        <f t="shared" si="31"/>
        <v>0</v>
      </c>
      <c r="V73" s="293" t="str">
        <f t="shared" si="32"/>
        <v/>
      </c>
      <c r="Y73" s="128"/>
    </row>
    <row r="74" spans="1:25" ht="20.100000000000001" customHeight="1" x14ac:dyDescent="0.2">
      <c r="A74" s="116" t="s">
        <v>131</v>
      </c>
      <c r="B74" s="122">
        <v>90791</v>
      </c>
      <c r="C74" s="122"/>
      <c r="D74" s="123" t="str">
        <f t="array" ref="D74">IFERROR(INDEX('Crosswalk '!$C$9:$C$94,MATCH(1,(B74='Crosswalk '!$B$9:$B$94)*(E74='Crosswalk '!$G$9:$G$94),0)),"")</f>
        <v/>
      </c>
      <c r="E74" s="291" t="str">
        <f t="array" ref="E74">IFERROR(INDEX('Crosswalk '!$E$106:$E$125,MATCH(1,($A$52='Crosswalk '!$D$106:$D$125)*($C74='Crosswalk '!$F$106:$F$125),0)),"")</f>
        <v/>
      </c>
      <c r="F74" s="484"/>
      <c r="G74" s="181"/>
      <c r="H74" s="159" t="str">
        <f t="array" ref="H74">IFERROR(INDEX('Crosswalk '!$E$9:$E$103,MATCH(1,($B74='Crosswalk '!$B$9:$B$103)*($E74='Crosswalk '!$G$9:$G$103),0)),"")</f>
        <v/>
      </c>
      <c r="I74" s="125">
        <f t="shared" si="33"/>
        <v>0</v>
      </c>
      <c r="J74" s="126" t="str">
        <f t="shared" si="26"/>
        <v/>
      </c>
      <c r="K74" s="200">
        <f t="shared" si="27"/>
        <v>0</v>
      </c>
      <c r="L74" s="294">
        <f t="shared" si="30"/>
        <v>0</v>
      </c>
      <c r="M74" s="295">
        <f t="shared" si="28"/>
        <v>0</v>
      </c>
      <c r="N74" s="186">
        <f t="shared" si="29"/>
        <v>0</v>
      </c>
      <c r="O74" s="201" t="str">
        <f>IFERROR(ROUND(N74/'Direct Prof Sal &amp; Fringes  '!$L$8,8),"")</f>
        <v/>
      </c>
      <c r="P74" s="186" t="str">
        <f>IF(ISBLANK(O74),"",IFERROR(ROUND(O74*' Indirect Non-prof Sal &amp; Fringe'!$M$42,0),""))</f>
        <v/>
      </c>
      <c r="Q74" s="186" t="str">
        <f>IF(ISBLANK(O74),"",IFERROR(ROUND(O74*'Direct and Indirect Expenses'!$K$20,0),""))</f>
        <v/>
      </c>
      <c r="R74" s="309">
        <f>IFERROR(SUMIF('Direct and Indirect Expenses'!$B$14:$B$34,'Financial Summary &amp; Stats'!B74,'Direct and Indirect Expenses'!$H$14:$H$34)*N74/SUMIF('Financial Summary &amp; Stats'!$B:$B,'Financial Summary &amp; Stats'!B74,'Financial Summary &amp; Stats'!$N:$N),0)</f>
        <v>0</v>
      </c>
      <c r="S74" s="595"/>
      <c r="T74" s="202">
        <f>IFERROR(IF('Direct and Indirect Expenses'!$A$9="Other Indirect Allocation Method",(ROUND((N74+P74)/($N$8+$P$8)*'Direct and Indirect Expenses'!$C$9,0)),ROUND((N74+P74)*'Direct and Indirect Expenses'!$B$9,0)),0)</f>
        <v>0</v>
      </c>
      <c r="U74" s="202">
        <f t="shared" si="31"/>
        <v>0</v>
      </c>
      <c r="V74" s="293" t="str">
        <f t="shared" si="32"/>
        <v/>
      </c>
      <c r="Y74" s="128"/>
    </row>
    <row r="75" spans="1:25" ht="20.100000000000001" customHeight="1" x14ac:dyDescent="0.2">
      <c r="A75" s="116" t="s">
        <v>116</v>
      </c>
      <c r="B75" s="122" t="s">
        <v>85</v>
      </c>
      <c r="C75" s="122" t="s">
        <v>195</v>
      </c>
      <c r="D75" s="123" t="str">
        <f t="array" ref="D75">IFERROR(INDEX('Crosswalk '!$C$9:$C$94,MATCH(1,(B75='Crosswalk '!$B$9:$B$94)*(E75='Crosswalk '!$G$9:$G$94),0)),"")</f>
        <v/>
      </c>
      <c r="E75" s="291" t="str">
        <f t="array" ref="E75">IFERROR(INDEX('Crosswalk '!$E$106:$E$125,MATCH(1,($A$52='Crosswalk '!$D$106:$D$125)*($C75='Crosswalk '!$F$106:$F$125),0)),"")</f>
        <v/>
      </c>
      <c r="F75" s="484"/>
      <c r="G75" s="181"/>
      <c r="H75" s="159" t="str">
        <f t="array" ref="H75">IFERROR(INDEX('Crosswalk '!$E$9:$E$103,MATCH(1,($B75='Crosswalk '!$B$9:$B$103)*($E75='Crosswalk '!$G$9:$G$103),0)),"")</f>
        <v/>
      </c>
      <c r="I75" s="125">
        <f t="shared" si="33"/>
        <v>0</v>
      </c>
      <c r="J75" s="126" t="str">
        <f t="shared" si="26"/>
        <v/>
      </c>
      <c r="K75" s="200">
        <f t="shared" si="27"/>
        <v>0</v>
      </c>
      <c r="L75" s="294">
        <f t="shared" si="30"/>
        <v>0</v>
      </c>
      <c r="M75" s="295">
        <f t="shared" si="28"/>
        <v>0</v>
      </c>
      <c r="N75" s="186">
        <f t="shared" si="29"/>
        <v>0</v>
      </c>
      <c r="O75" s="201" t="str">
        <f>IFERROR(ROUND(N75/'Direct Prof Sal &amp; Fringes  '!$L$8,8),"")</f>
        <v/>
      </c>
      <c r="P75" s="186" t="str">
        <f>IF(ISBLANK(O75),"",IFERROR(ROUND(O75*' Indirect Non-prof Sal &amp; Fringe'!$M$42,0),""))</f>
        <v/>
      </c>
      <c r="Q75" s="186" t="str">
        <f>IF(ISBLANK(O75),"",IFERROR(ROUND(O75*'Direct and Indirect Expenses'!$K$20,0),""))</f>
        <v/>
      </c>
      <c r="R75" s="309">
        <f>IFERROR(SUMIF('Direct and Indirect Expenses'!$B$14:$B$34,'Financial Summary &amp; Stats'!B75,'Direct and Indirect Expenses'!$H$14:$H$34)*N75/SUMIF('Financial Summary &amp; Stats'!$B:$B,'Financial Summary &amp; Stats'!B75,'Financial Summary &amp; Stats'!$N:$N),0)</f>
        <v>0</v>
      </c>
      <c r="S75" s="595"/>
      <c r="T75" s="202">
        <f>IFERROR(IF('Direct and Indirect Expenses'!$A$9="Other Indirect Allocation Method",(ROUND((N75+P75)/($N$8+$P$8)*'Direct and Indirect Expenses'!$C$9,0)),ROUND((N75+P75)*'Direct and Indirect Expenses'!$B$9,0)),0)</f>
        <v>0</v>
      </c>
      <c r="U75" s="202">
        <f t="shared" si="31"/>
        <v>0</v>
      </c>
      <c r="V75" s="293" t="str">
        <f t="shared" si="32"/>
        <v/>
      </c>
      <c r="Y75" s="128"/>
    </row>
    <row r="76" spans="1:25" ht="20.100000000000001" customHeight="1" x14ac:dyDescent="0.2">
      <c r="A76" s="116" t="s">
        <v>116</v>
      </c>
      <c r="B76" s="122" t="s">
        <v>85</v>
      </c>
      <c r="C76" s="122" t="s">
        <v>196</v>
      </c>
      <c r="D76" s="123" t="str">
        <f t="array" ref="D76">IFERROR(INDEX('Crosswalk '!$C$9:$C$94,MATCH(1,(B76='Crosswalk '!$B$9:$B$94)*(E76='Crosswalk '!$G$9:$G$94),0)),"")</f>
        <v/>
      </c>
      <c r="E76" s="291" t="str">
        <f t="array" ref="E76">IFERROR(INDEX('Crosswalk '!$E$106:$E$125,MATCH(1,($A$52='Crosswalk '!$D$106:$D$125)*($C76='Crosswalk '!$F$106:$F$125),0)),"")</f>
        <v/>
      </c>
      <c r="F76" s="484"/>
      <c r="G76" s="486"/>
      <c r="H76" s="159" t="str">
        <f t="array" ref="H76">IFERROR(INDEX('Crosswalk '!$E$9:$E$103,MATCH(1,($B76='Crosswalk '!$B$9:$B$103)*($E76='Crosswalk '!$G$9:$G$103),0)),"")</f>
        <v/>
      </c>
      <c r="I76" s="166"/>
      <c r="J76" s="126" t="str">
        <f t="shared" si="26"/>
        <v/>
      </c>
      <c r="K76" s="200">
        <f t="shared" si="27"/>
        <v>0</v>
      </c>
      <c r="L76" s="294">
        <f t="shared" si="30"/>
        <v>0</v>
      </c>
      <c r="M76" s="295">
        <f t="shared" si="28"/>
        <v>0</v>
      </c>
      <c r="N76" s="186">
        <f t="shared" si="29"/>
        <v>0</v>
      </c>
      <c r="O76" s="201" t="str">
        <f>IFERROR(ROUND(N76/'Direct Prof Sal &amp; Fringes  '!$L$8,8),"")</f>
        <v/>
      </c>
      <c r="P76" s="186" t="str">
        <f>IF(ISBLANK(O76),"",IFERROR(ROUND(O76*' Indirect Non-prof Sal &amp; Fringe'!$M$42,0),""))</f>
        <v/>
      </c>
      <c r="Q76" s="186" t="str">
        <f>IF(ISBLANK(O76),"",IFERROR(ROUND(O76*'Direct and Indirect Expenses'!$K$20,0),""))</f>
        <v/>
      </c>
      <c r="R76" s="309">
        <f>IFERROR(SUMIF('Direct and Indirect Expenses'!$B$14:$B$34,'Financial Summary &amp; Stats'!B76,'Direct and Indirect Expenses'!$H$14:$H$34)*N76/SUMIF('Financial Summary &amp; Stats'!$B:$B,'Financial Summary &amp; Stats'!B76,'Financial Summary &amp; Stats'!$N:$N),0)</f>
        <v>0</v>
      </c>
      <c r="S76" s="595"/>
      <c r="T76" s="202">
        <f>IFERROR(IF('Direct and Indirect Expenses'!$A$9="Other Indirect Allocation Method",(ROUND((N76+P76)/($N$8+$P$8)*'Direct and Indirect Expenses'!$C$9,0)),ROUND((N76+P76)*'Direct and Indirect Expenses'!$B$9,0)),0)</f>
        <v>0</v>
      </c>
      <c r="U76" s="202">
        <f t="shared" si="31"/>
        <v>0</v>
      </c>
      <c r="V76" s="293" t="str">
        <f t="shared" si="32"/>
        <v/>
      </c>
      <c r="Y76" s="128"/>
    </row>
    <row r="77" spans="1:25" ht="20.100000000000001" customHeight="1" x14ac:dyDescent="0.2">
      <c r="A77" s="116" t="s">
        <v>116</v>
      </c>
      <c r="B77" s="122" t="s">
        <v>85</v>
      </c>
      <c r="C77" s="122"/>
      <c r="D77" s="123" t="str">
        <f t="array" ref="D77">IFERROR(INDEX('Crosswalk '!$C$9:$C$94,MATCH(1,(B77='Crosswalk '!$B$9:$B$94)*(E77='Crosswalk '!$G$9:$G$94),0)),"")</f>
        <v/>
      </c>
      <c r="E77" s="291" t="str">
        <f t="array" ref="E77">IFERROR(INDEX('Crosswalk '!$E$106:$E$125,MATCH(1,($A$52='Crosswalk '!$D$106:$D$125)*($C77='Crosswalk '!$F$106:$F$125),0)),"")</f>
        <v/>
      </c>
      <c r="F77" s="484"/>
      <c r="G77" s="486"/>
      <c r="H77" s="159" t="str">
        <f t="array" ref="H77">IFERROR(INDEX('Crosswalk '!$E$9:$E$103,MATCH(1,($B77='Crosswalk '!$B$9:$B$103)*($E77='Crosswalk '!$G$9:$G$103),0)),"")</f>
        <v/>
      </c>
      <c r="I77" s="166"/>
      <c r="J77" s="126" t="str">
        <f t="shared" si="26"/>
        <v/>
      </c>
      <c r="K77" s="200">
        <f t="shared" si="27"/>
        <v>0</v>
      </c>
      <c r="L77" s="294">
        <f t="shared" si="30"/>
        <v>0</v>
      </c>
      <c r="M77" s="295">
        <f t="shared" si="28"/>
        <v>0</v>
      </c>
      <c r="N77" s="186">
        <f t="shared" si="29"/>
        <v>0</v>
      </c>
      <c r="O77" s="201" t="str">
        <f>IFERROR(ROUND(N77/'Direct Prof Sal &amp; Fringes  '!$L$8,8),"")</f>
        <v/>
      </c>
      <c r="P77" s="186" t="str">
        <f>IF(ISBLANK(O77),"",IFERROR(ROUND(O77*' Indirect Non-prof Sal &amp; Fringe'!$M$42,0),""))</f>
        <v/>
      </c>
      <c r="Q77" s="186" t="str">
        <f>IF(ISBLANK(O77),"",IFERROR(ROUND(O77*'Direct and Indirect Expenses'!$K$20,0),""))</f>
        <v/>
      </c>
      <c r="R77" s="309">
        <f>IFERROR(SUMIF('Direct and Indirect Expenses'!$B$14:$B$34,'Financial Summary &amp; Stats'!B77,'Direct and Indirect Expenses'!$H$14:$H$34)*N77/SUMIF('Financial Summary &amp; Stats'!$B:$B,'Financial Summary &amp; Stats'!B77,'Financial Summary &amp; Stats'!$N:$N),0)</f>
        <v>0</v>
      </c>
      <c r="S77" s="595"/>
      <c r="T77" s="202">
        <f>IFERROR(IF('Direct and Indirect Expenses'!$A$9="Other Indirect Allocation Method",(ROUND((N77+P77)/($N$8+$P$8)*'Direct and Indirect Expenses'!$C$9,0)),ROUND((N77+P77)*'Direct and Indirect Expenses'!$B$9,0)),0)</f>
        <v>0</v>
      </c>
      <c r="U77" s="202">
        <f t="shared" si="31"/>
        <v>0</v>
      </c>
      <c r="V77" s="293" t="str">
        <f t="shared" si="32"/>
        <v/>
      </c>
      <c r="Y77" s="128"/>
    </row>
    <row r="78" spans="1:25" ht="20.100000000000001" customHeight="1" x14ac:dyDescent="0.2">
      <c r="A78" s="116" t="s">
        <v>110</v>
      </c>
      <c r="B78" s="122" t="s">
        <v>73</v>
      </c>
      <c r="C78" s="122"/>
      <c r="D78" s="123" t="str">
        <f t="array" ref="D78">IFERROR(INDEX('Crosswalk '!$C$9:$C$94,MATCH(1,(B78='Crosswalk '!$B$9:$B$94)*(E78='Crosswalk '!$G$9:$G$94),0)),"")</f>
        <v/>
      </c>
      <c r="E78" s="291" t="str">
        <f t="array" ref="E78">IFERROR(INDEX('Crosswalk '!$E$106:$E$125,MATCH(1,($A$52='Crosswalk '!$D$106:$D$125)*($C78='Crosswalk '!$F$106:$F$125),0)),"")</f>
        <v/>
      </c>
      <c r="F78" s="484"/>
      <c r="G78" s="181"/>
      <c r="H78" s="159" t="str">
        <f t="array" ref="H78">IFERROR(INDEX('Crosswalk '!$E$9:$E$103,MATCH(1,($B78='Crosswalk '!$B$9:$B$103)*($E78='Crosswalk '!$G$9:$G$103),0)),"")</f>
        <v/>
      </c>
      <c r="I78" s="125">
        <f t="shared" ref="I78:I80" si="34">IFERROR(ROUND(F78*H78,2),0)</f>
        <v>0</v>
      </c>
      <c r="J78" s="126" t="str">
        <f t="shared" si="26"/>
        <v/>
      </c>
      <c r="K78" s="200">
        <f t="shared" si="27"/>
        <v>0</v>
      </c>
      <c r="L78" s="294">
        <f t="shared" si="30"/>
        <v>0</v>
      </c>
      <c r="M78" s="295">
        <f t="shared" si="28"/>
        <v>0</v>
      </c>
      <c r="N78" s="186">
        <f t="shared" si="29"/>
        <v>0</v>
      </c>
      <c r="O78" s="201" t="str">
        <f>IFERROR(ROUND(N78/'Direct Prof Sal &amp; Fringes  '!$L$8,8),"")</f>
        <v/>
      </c>
      <c r="P78" s="186" t="str">
        <f>IF(ISBLANK(O78),"",IFERROR(ROUND(O78*' Indirect Non-prof Sal &amp; Fringe'!$M$42,0),""))</f>
        <v/>
      </c>
      <c r="Q78" s="186" t="str">
        <f>IF(ISBLANK(O78),"",IFERROR(ROUND(O78*'Direct and Indirect Expenses'!$K$20,0),""))</f>
        <v/>
      </c>
      <c r="R78" s="309">
        <f>IFERROR(SUMIF('Direct and Indirect Expenses'!$B$14:$B$34,'Financial Summary &amp; Stats'!B78,'Direct and Indirect Expenses'!$H$14:$H$34)*N78/SUMIF('Financial Summary &amp; Stats'!$B:$B,'Financial Summary &amp; Stats'!B78,'Financial Summary &amp; Stats'!$N:$N),0)</f>
        <v>0</v>
      </c>
      <c r="S78" s="595"/>
      <c r="T78" s="202">
        <f>IFERROR(IF('Direct and Indirect Expenses'!$A$9="Other Indirect Allocation Method",(ROUND((N78+P78)/($N$8+$P$8)*'Direct and Indirect Expenses'!$C$9,0)),ROUND((N78+P78)*'Direct and Indirect Expenses'!$B$9,0)),0)</f>
        <v>0</v>
      </c>
      <c r="U78" s="202">
        <f t="shared" si="31"/>
        <v>0</v>
      </c>
      <c r="V78" s="293" t="str">
        <f t="shared" si="32"/>
        <v/>
      </c>
      <c r="Y78" s="128"/>
    </row>
    <row r="79" spans="1:25" ht="20.100000000000001" customHeight="1" x14ac:dyDescent="0.2">
      <c r="A79" s="116" t="s">
        <v>109</v>
      </c>
      <c r="B79" s="122">
        <v>99367</v>
      </c>
      <c r="C79" s="122"/>
      <c r="D79" s="123">
        <f t="array" ref="D79">IFERROR(INDEX('Crosswalk '!$C$9:$C$94,MATCH(1,(B79='Crosswalk '!$B$9:$B$94)*(E79='Crosswalk '!$G$9:$G$94),0)),"")</f>
        <v>0</v>
      </c>
      <c r="E79" s="159" t="s">
        <v>142</v>
      </c>
      <c r="F79" s="484"/>
      <c r="G79" s="181"/>
      <c r="H79" s="159">
        <f t="array" ref="H79">IFERROR(INDEX('Crosswalk '!$E$9:$E$103,MATCH(1,($B79='Crosswalk '!$B$9:$B$103)*($E79='Crosswalk '!$G$9:$G$103),0)),"")</f>
        <v>0.5</v>
      </c>
      <c r="I79" s="125">
        <f t="shared" si="34"/>
        <v>0</v>
      </c>
      <c r="J79" s="126">
        <f t="shared" si="26"/>
        <v>0</v>
      </c>
      <c r="K79" s="200">
        <f t="shared" si="27"/>
        <v>0</v>
      </c>
      <c r="L79" s="294">
        <f t="shared" si="30"/>
        <v>0</v>
      </c>
      <c r="M79" s="295">
        <f t="shared" si="28"/>
        <v>0</v>
      </c>
      <c r="N79" s="186">
        <f t="shared" si="29"/>
        <v>0</v>
      </c>
      <c r="O79" s="201" t="str">
        <f>IFERROR(ROUND(N79/'Direct Prof Sal &amp; Fringes  '!$L$8,8),"")</f>
        <v/>
      </c>
      <c r="P79" s="186" t="str">
        <f>IF(ISBLANK(O79),"",IFERROR(ROUND(O79*' Indirect Non-prof Sal &amp; Fringe'!$M$42,0),""))</f>
        <v/>
      </c>
      <c r="Q79" s="186" t="str">
        <f>IF(ISBLANK(O79),"",IFERROR(ROUND(O79*'Direct and Indirect Expenses'!$K$20,0),""))</f>
        <v/>
      </c>
      <c r="R79" s="309">
        <f>IFERROR(SUMIF('Direct and Indirect Expenses'!$B$14:$B$34,'Financial Summary &amp; Stats'!B79,'Direct and Indirect Expenses'!$H$14:$H$34)*N79/SUMIF('Financial Summary &amp; Stats'!$B:$B,'Financial Summary &amp; Stats'!B79,'Financial Summary &amp; Stats'!$N:$N),0)</f>
        <v>0</v>
      </c>
      <c r="S79" s="595"/>
      <c r="T79" s="202">
        <f>IFERROR(IF('Direct and Indirect Expenses'!$A$9="Other Indirect Allocation Method",(ROUND((N79+P79)/($N$8+$P$8)*'Direct and Indirect Expenses'!$C$9,0)),ROUND((N79+P79)*'Direct and Indirect Expenses'!$B$9,0)),0)</f>
        <v>0</v>
      </c>
      <c r="U79" s="202">
        <f t="shared" si="31"/>
        <v>0</v>
      </c>
      <c r="V79" s="293" t="str">
        <f t="shared" si="32"/>
        <v/>
      </c>
      <c r="Y79" s="128"/>
    </row>
    <row r="80" spans="1:25" ht="20.100000000000001" customHeight="1" x14ac:dyDescent="0.2">
      <c r="A80" s="116" t="s">
        <v>108</v>
      </c>
      <c r="B80" s="122">
        <v>99366</v>
      </c>
      <c r="C80" s="122"/>
      <c r="D80" s="123">
        <f t="array" ref="D80">IFERROR(INDEX('Crosswalk '!$C$9:$C$94,MATCH(1,(B80='Crosswalk '!$B$9:$B$94)*(E80='Crosswalk '!$G$9:$G$94),0)),"")</f>
        <v>0</v>
      </c>
      <c r="E80" s="159" t="s">
        <v>142</v>
      </c>
      <c r="F80" s="484"/>
      <c r="G80" s="181"/>
      <c r="H80" s="159">
        <f t="array" ref="H80">IFERROR(INDEX('Crosswalk '!$E$9:$E$103,MATCH(1,($B80='Crosswalk '!$B$9:$B$103)*($E80='Crosswalk '!$G$9:$G$103),0)),"")</f>
        <v>0.5</v>
      </c>
      <c r="I80" s="125">
        <f t="shared" si="34"/>
        <v>0</v>
      </c>
      <c r="J80" s="126">
        <f t="shared" si="26"/>
        <v>0</v>
      </c>
      <c r="K80" s="200">
        <f t="shared" si="27"/>
        <v>0</v>
      </c>
      <c r="L80" s="294">
        <f t="shared" si="30"/>
        <v>0</v>
      </c>
      <c r="M80" s="295">
        <f t="shared" si="28"/>
        <v>0</v>
      </c>
      <c r="N80" s="186">
        <f t="shared" si="29"/>
        <v>0</v>
      </c>
      <c r="O80" s="201" t="str">
        <f>IFERROR(ROUND(N80/'Direct Prof Sal &amp; Fringes  '!$L$8,8),"")</f>
        <v/>
      </c>
      <c r="P80" s="186" t="str">
        <f>IF(ISBLANK(O80),"",IFERROR(ROUND(O80*' Indirect Non-prof Sal &amp; Fringe'!$M$42,0),""))</f>
        <v/>
      </c>
      <c r="Q80" s="186" t="str">
        <f>IF(ISBLANK(O80),"",IFERROR(ROUND(O80*'Direct and Indirect Expenses'!$K$20,0),""))</f>
        <v/>
      </c>
      <c r="R80" s="309">
        <f>IFERROR(SUMIF('Direct and Indirect Expenses'!$B$14:$B$34,'Financial Summary &amp; Stats'!B80,'Direct and Indirect Expenses'!$H$14:$H$34)*N80/SUMIF('Financial Summary &amp; Stats'!$B:$B,'Financial Summary &amp; Stats'!B80,'Financial Summary &amp; Stats'!$N:$N),0)</f>
        <v>0</v>
      </c>
      <c r="S80" s="595"/>
      <c r="T80" s="202">
        <f>IFERROR(IF('Direct and Indirect Expenses'!$A$9="Other Indirect Allocation Method",(ROUND((N80+P80)/($N$8+$P$8)*'Direct and Indirect Expenses'!$C$9,0)),ROUND((N80+P80)*'Direct and Indirect Expenses'!$B$9,0)),0)</f>
        <v>0</v>
      </c>
      <c r="U80" s="202">
        <f t="shared" si="31"/>
        <v>0</v>
      </c>
      <c r="V80" s="293" t="str">
        <f t="shared" si="32"/>
        <v/>
      </c>
      <c r="Y80" s="128"/>
    </row>
    <row r="81" spans="1:25" ht="20.100000000000001" customHeight="1" x14ac:dyDescent="0.2">
      <c r="A81" s="171"/>
      <c r="B81" s="172"/>
      <c r="C81" s="172"/>
      <c r="D81" s="173"/>
      <c r="E81" s="173"/>
      <c r="F81" s="174"/>
      <c r="G81" s="179"/>
      <c r="H81" s="175"/>
      <c r="I81" s="176"/>
      <c r="J81" s="176"/>
      <c r="K81" s="178"/>
      <c r="L81" s="296"/>
      <c r="M81" s="296"/>
      <c r="N81" s="302"/>
      <c r="O81" s="177"/>
      <c r="P81" s="177"/>
      <c r="Q81" s="177"/>
      <c r="R81" s="302"/>
      <c r="S81" s="302"/>
      <c r="T81" s="193"/>
      <c r="U81" s="193"/>
      <c r="V81" s="191"/>
      <c r="Y81" s="128"/>
    </row>
    <row r="82" spans="1:25" ht="20.100000000000001" customHeight="1" x14ac:dyDescent="0.2">
      <c r="A82" s="171"/>
      <c r="B82" s="172"/>
      <c r="C82" s="172"/>
      <c r="D82" s="173"/>
      <c r="E82" s="173"/>
      <c r="F82" s="174"/>
      <c r="G82" s="179"/>
      <c r="H82" s="175"/>
      <c r="I82" s="176"/>
      <c r="J82" s="176"/>
      <c r="K82" s="178"/>
      <c r="L82" s="296"/>
      <c r="M82" s="296"/>
      <c r="N82" s="302"/>
      <c r="O82" s="177"/>
      <c r="P82" s="177"/>
      <c r="Q82" s="177"/>
      <c r="R82" s="302"/>
      <c r="S82" s="302"/>
      <c r="T82" s="193"/>
      <c r="U82" s="193"/>
      <c r="V82" s="191"/>
      <c r="Y82" s="128"/>
    </row>
    <row r="83" spans="1:25" ht="20.100000000000001" customHeight="1" x14ac:dyDescent="0.25">
      <c r="A83" s="289" t="s">
        <v>101</v>
      </c>
      <c r="B83" s="122"/>
      <c r="C83" s="122"/>
      <c r="D83" s="123"/>
      <c r="E83" s="123"/>
      <c r="F83" s="130"/>
      <c r="G83" s="180"/>
      <c r="H83" s="159"/>
      <c r="I83" s="125"/>
      <c r="J83" s="126"/>
      <c r="K83" s="127"/>
      <c r="L83" s="295"/>
      <c r="M83" s="295"/>
      <c r="N83" s="186"/>
      <c r="O83" s="121"/>
      <c r="P83" s="121"/>
      <c r="Q83" s="186"/>
      <c r="R83" s="186"/>
      <c r="S83" s="186"/>
      <c r="T83" s="186"/>
      <c r="U83" s="186"/>
      <c r="V83" s="293"/>
      <c r="Y83" s="128"/>
    </row>
    <row r="84" spans="1:25" ht="20.100000000000001" customHeight="1" x14ac:dyDescent="0.2">
      <c r="A84" s="129" t="s">
        <v>117</v>
      </c>
      <c r="B84" s="131">
        <v>96101</v>
      </c>
      <c r="C84" s="131"/>
      <c r="D84" s="123">
        <f>+'Service Paid by Medicaid'!E77</f>
        <v>0</v>
      </c>
      <c r="E84" s="291" t="str">
        <f t="array" ref="E84">IFERROR(INDEX('Crosswalk '!$E$106:$E$125,MATCH(1,($A$52='Crosswalk '!$D$106:$D$125)*($C84='Crosswalk '!$F$106:$F$125),0)),"")</f>
        <v/>
      </c>
      <c r="F84" s="484"/>
      <c r="G84" s="181"/>
      <c r="H84" s="159" t="str">
        <f t="array" ref="H84">IFERROR(INDEX('Crosswalk '!$E$9:$E$103,MATCH(1,($B84='Crosswalk '!$B$9:$B$103)*($E84='Crosswalk '!$G$9:$G$103),0)),"")</f>
        <v/>
      </c>
      <c r="I84" s="125">
        <f t="shared" ref="I84:I86" si="35">IFERROR(ROUND(F84*H84,2),0)</f>
        <v>0</v>
      </c>
      <c r="J84" s="126" t="str">
        <f t="shared" ref="J84:J86" si="36">IF(ISTEXT(H84),"",IFERROR(ROUND(I84+G84,2),""))</f>
        <v/>
      </c>
      <c r="K84" s="200">
        <f t="shared" ref="K84:K86" si="37">IF(ISERROR(J84/$J$91),0,ROUND(J84/$J$91,8))</f>
        <v>0</v>
      </c>
      <c r="L84" s="294">
        <f t="shared" ref="L84:L86" si="38">ROUND(K84*$B$54,0)</f>
        <v>0</v>
      </c>
      <c r="M84" s="295">
        <f t="shared" ref="M84:M86" si="39">IFERROR(ROUND(L84/$L$91*$M$91,0),0)</f>
        <v>0</v>
      </c>
      <c r="N84" s="186">
        <f t="shared" ref="N84:N86" si="40">ROUND(L84+M84,0)</f>
        <v>0</v>
      </c>
      <c r="O84" s="201" t="str">
        <f>IFERROR(ROUND(N84/'Direct Prof Sal &amp; Fringes  '!$L$8,8),"")</f>
        <v/>
      </c>
      <c r="P84" s="186" t="str">
        <f>IF(ISBLANK(O84),"",IFERROR(ROUND(O84*' Indirect Non-prof Sal &amp; Fringe'!$M$42,0),""))</f>
        <v/>
      </c>
      <c r="Q84" s="186" t="str">
        <f>IF(ISBLANK(O84),"",IFERROR(ROUND(O84*'Direct and Indirect Expenses'!$K$20,0),""))</f>
        <v/>
      </c>
      <c r="R84" s="309">
        <f>IFERROR(SUMIF('Direct and Indirect Expenses'!$B$14:$B$34,'Financial Summary &amp; Stats'!B84,'Direct and Indirect Expenses'!$H$14:$H$34)*N84/SUMIF('Financial Summary &amp; Stats'!$B:$B,'Financial Summary &amp; Stats'!B84,'Financial Summary &amp; Stats'!$N:$N),0)</f>
        <v>0</v>
      </c>
      <c r="S84" s="595"/>
      <c r="T84" s="202">
        <f>IFERROR(IF('Direct and Indirect Expenses'!$A$9="Other Indirect Allocation Method",(ROUND((N84+P84)/($N$8+$P$8)*'Direct and Indirect Expenses'!$C$9,0)),ROUND((N84+P84)*'Direct and Indirect Expenses'!$B$9,0)),0)</f>
        <v>0</v>
      </c>
      <c r="U84" s="202">
        <f t="shared" ref="U84:U86" si="41">IFERROR(ROUND((T84+R84+Q84+P84+N84+S84),0),0)</f>
        <v>0</v>
      </c>
      <c r="V84" s="293" t="str">
        <f>IFERROR(ROUND(U84/F84,2),"")</f>
        <v/>
      </c>
      <c r="Y84" s="128"/>
    </row>
    <row r="85" spans="1:25" ht="20.100000000000001" customHeight="1" x14ac:dyDescent="0.2">
      <c r="A85" s="129" t="s">
        <v>122</v>
      </c>
      <c r="B85" s="132" t="s">
        <v>120</v>
      </c>
      <c r="C85" s="132"/>
      <c r="D85" s="123">
        <f>+'Service Paid by Medicaid'!E78</f>
        <v>0</v>
      </c>
      <c r="E85" s="291"/>
      <c r="F85" s="484"/>
      <c r="G85" s="181"/>
      <c r="H85" s="159">
        <f t="array" ref="H85">IFERROR(INDEX('Crosswalk '!$E$9:$E$103,MATCH(1,($B85='Crosswalk '!$B$9:$B$103)*($E85='Crosswalk '!$G$9:$G$103),0)),"")</f>
        <v>0.25</v>
      </c>
      <c r="I85" s="125">
        <f t="shared" si="35"/>
        <v>0</v>
      </c>
      <c r="J85" s="126">
        <f t="shared" si="36"/>
        <v>0</v>
      </c>
      <c r="K85" s="200">
        <f t="shared" si="37"/>
        <v>0</v>
      </c>
      <c r="L85" s="294">
        <f t="shared" si="38"/>
        <v>0</v>
      </c>
      <c r="M85" s="295">
        <f t="shared" si="39"/>
        <v>0</v>
      </c>
      <c r="N85" s="186">
        <f t="shared" si="40"/>
        <v>0</v>
      </c>
      <c r="O85" s="201" t="str">
        <f>IFERROR(ROUND(N85/'Direct Prof Sal &amp; Fringes  '!$L$8,8),"")</f>
        <v/>
      </c>
      <c r="P85" s="186" t="str">
        <f>IF(ISBLANK(O85),"",IFERROR(ROUND(O85*' Indirect Non-prof Sal &amp; Fringe'!$M$42,0),""))</f>
        <v/>
      </c>
      <c r="Q85" s="186" t="str">
        <f>IF(ISBLANK(O85),"",IFERROR(ROUND(O85*'Direct and Indirect Expenses'!$K$20,0),""))</f>
        <v/>
      </c>
      <c r="R85" s="309">
        <f>IFERROR(SUMIF('Direct and Indirect Expenses'!$B$14:$B$34,'Financial Summary &amp; Stats'!B85,'Direct and Indirect Expenses'!$H$14:$H$34)*N85/SUMIF('Financial Summary &amp; Stats'!$B:$B,'Financial Summary &amp; Stats'!B85,'Financial Summary &amp; Stats'!$N:$N),0)</f>
        <v>0</v>
      </c>
      <c r="S85" s="595"/>
      <c r="T85" s="202">
        <f>IFERROR(IF('Direct and Indirect Expenses'!$A$9="Other Indirect Allocation Method",(ROUND((N85+P85)/($N$8+$P$8)*'Direct and Indirect Expenses'!$C$9,0)),ROUND((N85+P85)*'Direct and Indirect Expenses'!$B$9,0)),0)</f>
        <v>0</v>
      </c>
      <c r="U85" s="202">
        <f t="shared" si="41"/>
        <v>0</v>
      </c>
      <c r="V85" s="293" t="str">
        <f t="shared" ref="V85:V86" si="42">IFERROR(ROUND(U85/F85,2),"")</f>
        <v/>
      </c>
      <c r="Y85" s="128"/>
    </row>
    <row r="86" spans="1:25" ht="20.100000000000001" customHeight="1" x14ac:dyDescent="0.2">
      <c r="A86" s="129" t="s">
        <v>123</v>
      </c>
      <c r="B86" s="132" t="s">
        <v>121</v>
      </c>
      <c r="C86" s="132"/>
      <c r="D86" s="123">
        <f>+'Service Paid by Medicaid'!E79</f>
        <v>0</v>
      </c>
      <c r="E86" s="291"/>
      <c r="F86" s="484"/>
      <c r="G86" s="181"/>
      <c r="H86" s="159">
        <f t="array" ref="H86">IFERROR(INDEX('Crosswalk '!$E$9:$E$103,MATCH(1,($B86='Crosswalk '!$B$9:$B$103)*($E86='Crosswalk '!$G$9:$G$103),0)),"")</f>
        <v>0.25</v>
      </c>
      <c r="I86" s="125">
        <f t="shared" si="35"/>
        <v>0</v>
      </c>
      <c r="J86" s="126">
        <f t="shared" si="36"/>
        <v>0</v>
      </c>
      <c r="K86" s="200">
        <f t="shared" si="37"/>
        <v>0</v>
      </c>
      <c r="L86" s="294">
        <f t="shared" si="38"/>
        <v>0</v>
      </c>
      <c r="M86" s="295">
        <f t="shared" si="39"/>
        <v>0</v>
      </c>
      <c r="N86" s="186">
        <f t="shared" si="40"/>
        <v>0</v>
      </c>
      <c r="O86" s="201" t="str">
        <f>IFERROR(ROUND(N86/'Direct Prof Sal &amp; Fringes  '!$L$8,8),"")</f>
        <v/>
      </c>
      <c r="P86" s="186" t="str">
        <f>IF(ISBLANK(O86),"",IFERROR(ROUND(O86*' Indirect Non-prof Sal &amp; Fringe'!$M$42,0),""))</f>
        <v/>
      </c>
      <c r="Q86" s="186" t="str">
        <f>IF(ISBLANK(O86),"",IFERROR(ROUND(O86*'Direct and Indirect Expenses'!$K$20,0),""))</f>
        <v/>
      </c>
      <c r="R86" s="309">
        <f>IFERROR(SUMIF('Direct and Indirect Expenses'!$B$14:$B$34,'Financial Summary &amp; Stats'!B86,'Direct and Indirect Expenses'!$H$14:$H$34)*N86/SUMIF('Financial Summary &amp; Stats'!$B:$B,'Financial Summary &amp; Stats'!B86,'Financial Summary &amp; Stats'!$N:$N),0)</f>
        <v>0</v>
      </c>
      <c r="S86" s="595"/>
      <c r="T86" s="202">
        <f>IFERROR(IF('Direct and Indirect Expenses'!$A$9="Other Indirect Allocation Method",(ROUND((N86+P86)/($N$8+$P$8)*'Direct and Indirect Expenses'!$C$9,0)),ROUND((N86+P86)*'Direct and Indirect Expenses'!$B$9,0)),0)</f>
        <v>0</v>
      </c>
      <c r="U86" s="202">
        <f t="shared" si="41"/>
        <v>0</v>
      </c>
      <c r="V86" s="293" t="str">
        <f t="shared" si="42"/>
        <v/>
      </c>
      <c r="Y86" s="128"/>
    </row>
    <row r="87" spans="1:25" ht="20.100000000000001" customHeight="1" x14ac:dyDescent="0.2">
      <c r="A87" s="161"/>
      <c r="B87" s="162"/>
      <c r="C87" s="162"/>
      <c r="D87" s="163"/>
      <c r="E87" s="163"/>
      <c r="F87" s="164"/>
      <c r="G87" s="181"/>
      <c r="H87" s="165"/>
      <c r="I87" s="166"/>
      <c r="J87" s="167"/>
      <c r="K87" s="169"/>
      <c r="L87" s="297"/>
      <c r="M87" s="297"/>
      <c r="N87" s="193"/>
      <c r="O87" s="168"/>
      <c r="P87" s="168"/>
      <c r="Q87" s="168"/>
      <c r="R87" s="193"/>
      <c r="S87" s="193"/>
      <c r="T87" s="193"/>
      <c r="U87" s="193"/>
      <c r="V87" s="191"/>
      <c r="Y87" s="128"/>
    </row>
    <row r="88" spans="1:25" ht="20.100000000000001" customHeight="1" x14ac:dyDescent="0.2">
      <c r="A88" s="161"/>
      <c r="B88" s="170"/>
      <c r="C88" s="170"/>
      <c r="D88" s="163"/>
      <c r="E88" s="163"/>
      <c r="F88" s="164"/>
      <c r="G88" s="181"/>
      <c r="H88" s="165"/>
      <c r="I88" s="166"/>
      <c r="J88" s="167"/>
      <c r="K88" s="169"/>
      <c r="L88" s="297"/>
      <c r="M88" s="297"/>
      <c r="N88" s="303"/>
      <c r="O88" s="168"/>
      <c r="P88" s="168"/>
      <c r="Q88" s="168"/>
      <c r="R88" s="193"/>
      <c r="S88" s="193"/>
      <c r="T88" s="193"/>
      <c r="U88" s="193"/>
      <c r="V88" s="191"/>
      <c r="Y88" s="128"/>
    </row>
    <row r="89" spans="1:25" ht="20.100000000000001" customHeight="1" x14ac:dyDescent="0.2">
      <c r="A89" s="129" t="s">
        <v>31</v>
      </c>
      <c r="B89" s="133"/>
      <c r="C89" s="133"/>
      <c r="D89" s="123"/>
      <c r="E89" s="123"/>
      <c r="F89" s="130"/>
      <c r="G89" s="180"/>
      <c r="H89" s="124"/>
      <c r="I89" s="120"/>
      <c r="J89" s="183">
        <f>B53-ROUND(SUM(J58:J80)+SUM(J84:J86),2)</f>
        <v>0</v>
      </c>
      <c r="K89" s="127">
        <f>IF(ISERROR(J89/$J$91),0,ROUND(J89/$J$91,8))</f>
        <v>0</v>
      </c>
      <c r="L89" s="297"/>
      <c r="M89" s="297"/>
      <c r="N89" s="303"/>
      <c r="O89" s="168"/>
      <c r="P89" s="168"/>
      <c r="Q89" s="168"/>
      <c r="R89" s="193"/>
      <c r="S89" s="193"/>
      <c r="T89" s="193"/>
      <c r="U89" s="193"/>
      <c r="V89" s="191"/>
      <c r="Y89" s="128"/>
    </row>
    <row r="90" spans="1:25" ht="20.100000000000001" customHeight="1" x14ac:dyDescent="0.2">
      <c r="A90" s="129"/>
      <c r="B90" s="133"/>
      <c r="C90" s="133"/>
      <c r="D90" s="123"/>
      <c r="E90" s="123"/>
      <c r="F90" s="130"/>
      <c r="G90" s="180"/>
      <c r="H90" s="124"/>
      <c r="I90" s="125"/>
      <c r="J90" s="126"/>
      <c r="K90" s="127"/>
      <c r="L90" s="297"/>
      <c r="M90" s="297"/>
      <c r="N90" s="303"/>
      <c r="O90" s="168"/>
      <c r="P90" s="168"/>
      <c r="Q90" s="168"/>
      <c r="R90" s="193"/>
      <c r="S90" s="193"/>
      <c r="T90" s="193"/>
      <c r="U90" s="193"/>
      <c r="V90" s="191"/>
      <c r="Y90" s="128"/>
    </row>
    <row r="91" spans="1:25" ht="20.100000000000001" customHeight="1" x14ac:dyDescent="0.2">
      <c r="A91" s="129" t="s">
        <v>38</v>
      </c>
      <c r="B91" s="133"/>
      <c r="C91" s="133"/>
      <c r="D91" s="123"/>
      <c r="E91" s="123"/>
      <c r="F91" s="134">
        <f>SUM(F58:F90)</f>
        <v>0</v>
      </c>
      <c r="G91" s="182">
        <f>ROUND(SUM(G58:G90),2)</f>
        <v>0</v>
      </c>
      <c r="H91" s="119"/>
      <c r="I91" s="125">
        <f>ROUND(SUM(I58:I90),2)</f>
        <v>0</v>
      </c>
      <c r="J91" s="126">
        <f>IFERROR(SUM(J58:J89),"")</f>
        <v>0</v>
      </c>
      <c r="K91" s="121">
        <f>ROUND(SUM(K58:K90),4)</f>
        <v>0</v>
      </c>
      <c r="L91" s="298">
        <f>ROUND(SUM(L58:L90),0)</f>
        <v>0</v>
      </c>
      <c r="M91" s="295">
        <f>IFERROR(ROUND(K89*$B$54,0),0)</f>
        <v>0</v>
      </c>
      <c r="N91" s="194">
        <f>ROUND(SUM(N58:N90),0)</f>
        <v>0</v>
      </c>
      <c r="O91" s="201" t="str">
        <f t="shared" ref="O91" si="43">IFERROR(ROUND(N91/$N$8,4),"")</f>
        <v/>
      </c>
      <c r="P91" s="135">
        <f t="shared" ref="P91:U91" si="44">ROUND(SUM(P58:P90),0)</f>
        <v>0</v>
      </c>
      <c r="Q91" s="135">
        <f t="shared" si="44"/>
        <v>0</v>
      </c>
      <c r="R91" s="194">
        <f t="shared" si="44"/>
        <v>0</v>
      </c>
      <c r="S91" s="194">
        <f t="shared" si="44"/>
        <v>0</v>
      </c>
      <c r="T91" s="194">
        <f t="shared" si="44"/>
        <v>0</v>
      </c>
      <c r="U91" s="194">
        <f t="shared" si="44"/>
        <v>0</v>
      </c>
      <c r="V91" s="190" t="str">
        <f>IFERROR(AVERAGE(V58:V80,V83:V86),"")</f>
        <v/>
      </c>
      <c r="Y91" s="128"/>
    </row>
    <row r="92" spans="1:25" ht="20.100000000000001" customHeight="1" thickBot="1" x14ac:dyDescent="0.25">
      <c r="A92" s="139"/>
      <c r="B92" s="147"/>
      <c r="C92" s="147"/>
      <c r="D92" s="148"/>
      <c r="E92" s="148"/>
      <c r="F92" s="149"/>
      <c r="G92" s="184"/>
      <c r="H92" s="138"/>
      <c r="I92" s="145"/>
      <c r="J92" s="150"/>
      <c r="K92" s="137"/>
      <c r="L92" s="300"/>
      <c r="M92" s="304"/>
      <c r="N92" s="305"/>
      <c r="Y92" s="128"/>
    </row>
    <row r="93" spans="1:25" ht="20.100000000000001" customHeight="1" x14ac:dyDescent="0.3">
      <c r="A93" s="669" t="str">
        <f>IF(ISBLANK('Direct Prof Sal &amp; Fringes  '!B81),"",+'Direct Prof Sal &amp; Fringes  '!B81)</f>
        <v/>
      </c>
      <c r="B93" s="671"/>
      <c r="C93" s="671"/>
      <c r="D93" s="671"/>
      <c r="E93" s="671"/>
      <c r="F93" s="671"/>
      <c r="G93" s="671"/>
      <c r="H93" s="671"/>
      <c r="I93" s="671"/>
      <c r="J93" s="671"/>
      <c r="K93" s="671"/>
      <c r="L93" s="671"/>
      <c r="M93" s="671"/>
      <c r="N93" s="671"/>
      <c r="O93" s="671"/>
      <c r="P93" s="671"/>
      <c r="Q93" s="671"/>
      <c r="R93" s="671"/>
      <c r="S93" s="671"/>
      <c r="T93" s="671"/>
      <c r="U93" s="671"/>
      <c r="V93" s="672"/>
    </row>
    <row r="94" spans="1:25" ht="20.100000000000001" customHeight="1" x14ac:dyDescent="0.25">
      <c r="A94" s="429" t="s">
        <v>18</v>
      </c>
      <c r="B94" s="456">
        <f>+'Direct Prof Sal &amp; Fringes  '!I116</f>
        <v>0</v>
      </c>
      <c r="C94" s="456"/>
      <c r="D94" s="431"/>
      <c r="E94" s="432"/>
      <c r="F94" s="432"/>
      <c r="G94" s="431"/>
      <c r="H94" s="433"/>
      <c r="I94" s="434"/>
      <c r="J94" s="432"/>
      <c r="K94" s="433"/>
      <c r="L94" s="435"/>
      <c r="M94" s="436"/>
      <c r="N94" s="436"/>
      <c r="O94" s="457"/>
      <c r="P94" s="457"/>
      <c r="Q94" s="457"/>
      <c r="R94" s="438"/>
      <c r="S94" s="438"/>
      <c r="T94" s="438"/>
      <c r="U94" s="439"/>
      <c r="V94" s="440"/>
    </row>
    <row r="95" spans="1:25" ht="20.100000000000001" customHeight="1" x14ac:dyDescent="0.25">
      <c r="A95" s="429" t="s">
        <v>163</v>
      </c>
      <c r="B95" s="441">
        <f>+'Direct Prof Sal &amp; Fringes  '!L116</f>
        <v>0</v>
      </c>
      <c r="C95" s="441"/>
      <c r="D95" s="431"/>
      <c r="E95" s="432"/>
      <c r="F95" s="432"/>
      <c r="G95" s="431"/>
      <c r="H95" s="433"/>
      <c r="I95" s="434"/>
      <c r="J95" s="432"/>
      <c r="K95" s="433"/>
      <c r="L95" s="435"/>
      <c r="M95" s="436"/>
      <c r="N95" s="436"/>
      <c r="O95" s="457"/>
      <c r="P95" s="457"/>
      <c r="Q95" s="457"/>
      <c r="R95" s="442"/>
      <c r="S95" s="442"/>
      <c r="T95" s="442"/>
      <c r="U95" s="442"/>
      <c r="V95" s="443"/>
    </row>
    <row r="96" spans="1:25" ht="20.100000000000001" customHeight="1" thickBot="1" x14ac:dyDescent="0.3">
      <c r="A96" s="444" t="s">
        <v>222</v>
      </c>
      <c r="B96" s="445">
        <f>IFERROR((ROUND((SUM($J$99:$J$127))/B94,8)),0)</f>
        <v>0</v>
      </c>
      <c r="C96" s="445"/>
      <c r="D96" s="446" t="str">
        <f>IFERROR(IF(B96&gt;1,"Productivity Cannot Exceed 100%",""),"")</f>
        <v/>
      </c>
      <c r="E96" s="447"/>
      <c r="F96" s="447"/>
      <c r="G96" s="448"/>
      <c r="H96" s="449"/>
      <c r="I96" s="450"/>
      <c r="J96" s="447"/>
      <c r="K96" s="449"/>
      <c r="L96" s="451"/>
      <c r="M96" s="452"/>
      <c r="N96" s="452"/>
      <c r="O96" s="458"/>
      <c r="P96" s="458"/>
      <c r="Q96" s="458"/>
      <c r="R96" s="454"/>
      <c r="S96" s="454"/>
      <c r="T96" s="454"/>
      <c r="U96" s="454"/>
      <c r="V96" s="455"/>
    </row>
    <row r="97" spans="1:25" ht="19.5" customHeight="1" thickBot="1" x14ac:dyDescent="0.3">
      <c r="A97" s="428" t="s">
        <v>49</v>
      </c>
      <c r="B97" s="428" t="s">
        <v>50</v>
      </c>
      <c r="C97" s="428" t="s">
        <v>51</v>
      </c>
      <c r="D97" s="428" t="s">
        <v>52</v>
      </c>
      <c r="E97" s="428" t="s">
        <v>53</v>
      </c>
      <c r="F97" s="428" t="s">
        <v>54</v>
      </c>
      <c r="G97" s="428" t="s">
        <v>55</v>
      </c>
      <c r="H97" s="428" t="s">
        <v>56</v>
      </c>
      <c r="I97" s="428" t="s">
        <v>57</v>
      </c>
      <c r="J97" s="428" t="s">
        <v>58</v>
      </c>
      <c r="K97" s="428" t="s">
        <v>59</v>
      </c>
      <c r="L97" s="428" t="s">
        <v>223</v>
      </c>
      <c r="M97" s="428" t="s">
        <v>224</v>
      </c>
      <c r="N97" s="428" t="s">
        <v>225</v>
      </c>
      <c r="O97" s="428" t="s">
        <v>226</v>
      </c>
      <c r="P97" s="428" t="s">
        <v>227</v>
      </c>
      <c r="Q97" s="428" t="s">
        <v>228</v>
      </c>
      <c r="R97" s="428" t="s">
        <v>229</v>
      </c>
      <c r="S97" s="428" t="s">
        <v>230</v>
      </c>
      <c r="T97" s="428" t="s">
        <v>231</v>
      </c>
      <c r="U97" s="428" t="s">
        <v>232</v>
      </c>
      <c r="V97" s="428" t="s">
        <v>242</v>
      </c>
    </row>
    <row r="98" spans="1:25" ht="92.25" customHeight="1" thickBot="1" x14ac:dyDescent="0.3">
      <c r="A98" s="346" t="s">
        <v>244</v>
      </c>
      <c r="B98" s="347" t="s">
        <v>42</v>
      </c>
      <c r="C98" s="347" t="s">
        <v>198</v>
      </c>
      <c r="D98" s="348" t="s">
        <v>62</v>
      </c>
      <c r="E98" s="348" t="s">
        <v>98</v>
      </c>
      <c r="F98" s="536" t="s">
        <v>260</v>
      </c>
      <c r="G98" s="349" t="s">
        <v>199</v>
      </c>
      <c r="H98" s="350" t="s">
        <v>19</v>
      </c>
      <c r="I98" s="347" t="s">
        <v>256</v>
      </c>
      <c r="J98" s="347" t="s">
        <v>41</v>
      </c>
      <c r="K98" s="351" t="s">
        <v>30</v>
      </c>
      <c r="L98" s="352" t="s">
        <v>173</v>
      </c>
      <c r="M98" s="352" t="s">
        <v>177</v>
      </c>
      <c r="N98" s="352" t="s">
        <v>176</v>
      </c>
      <c r="O98" s="351" t="s">
        <v>172</v>
      </c>
      <c r="P98" s="353" t="s">
        <v>178</v>
      </c>
      <c r="Q98" s="351" t="s">
        <v>204</v>
      </c>
      <c r="R98" s="352" t="s">
        <v>203</v>
      </c>
      <c r="S98" s="352" t="s">
        <v>243</v>
      </c>
      <c r="T98" s="597" t="str">
        <f>IF(ISBLANK(+'Direct and Indirect Expenses'!$A$9),"Indirect Cost Method",+'Direct and Indirect Expenses'!$A$9)</f>
        <v>Indirect Cost Method</v>
      </c>
      <c r="U98" s="354" t="s">
        <v>23</v>
      </c>
      <c r="V98" s="355" t="s">
        <v>44</v>
      </c>
    </row>
    <row r="99" spans="1:25" ht="20.100000000000001" customHeight="1" x14ac:dyDescent="0.2">
      <c r="A99" s="290" t="s">
        <v>75</v>
      </c>
      <c r="B99" s="283" t="s">
        <v>77</v>
      </c>
      <c r="C99" s="283"/>
      <c r="D99" s="198" t="str">
        <f t="array" ref="D99">IFERROR(INDEX('Crosswalk '!$C$9:$C$94,MATCH(1,($B99='Crosswalk '!$B$9:$B$94)*($E99='Crosswalk '!$G$9:$G$94),0)),"")</f>
        <v/>
      </c>
      <c r="E99" s="291" t="str">
        <f t="array" ref="E99">IFERROR(INDEX('Crosswalk '!$E$106:$E$125,MATCH(1,($A$93='Crosswalk '!$D$106:$D$125)*($C99='Crosswalk '!$F$106:$F$125),0)),"")</f>
        <v/>
      </c>
      <c r="F99" s="484"/>
      <c r="G99" s="292"/>
      <c r="H99" s="159" t="str">
        <f t="array" ref="H99">IFERROR(INDEX('Crosswalk '!$E$9:$E$103,MATCH(1,($B99='Crosswalk '!$B$9:$B$103)*($E99='Crosswalk '!$G$9:$G$103),0)),"")</f>
        <v/>
      </c>
      <c r="I99" s="199">
        <f t="shared" ref="I99:I106" si="45">IFERROR(ROUND(F99*H99,2),0)</f>
        <v>0</v>
      </c>
      <c r="J99" s="126" t="str">
        <f t="shared" ref="J99:J121" si="46">IF(ISTEXT(H99),"",IFERROR(ROUND(I99+G99,2),""))</f>
        <v/>
      </c>
      <c r="K99" s="200">
        <f t="shared" ref="K99:K121" si="47">IF(ISERROR(J99/$J$132),0,ROUND(J99/$J$132,8))</f>
        <v>0</v>
      </c>
      <c r="L99" s="294">
        <f>ROUND(K99*$B$95,0)</f>
        <v>0</v>
      </c>
      <c r="M99" s="294">
        <f t="shared" ref="M99:M121" si="48">IFERROR(ROUND(L99/$L$132*$M$132,0),0)</f>
        <v>0</v>
      </c>
      <c r="N99" s="202">
        <f t="shared" ref="N99:N121" si="49">ROUND(L99+M99,0)</f>
        <v>0</v>
      </c>
      <c r="O99" s="201" t="str">
        <f>IFERROR(ROUND(N99/'Direct Prof Sal &amp; Fringes  '!$L$8,8),"")</f>
        <v/>
      </c>
      <c r="P99" s="202" t="str">
        <f>IF(ISBLANK(O99),"",IFERROR(ROUND(O99*' Indirect Non-prof Sal &amp; Fringe'!$M$42,0),""))</f>
        <v/>
      </c>
      <c r="Q99" s="202" t="str">
        <f>IF(ISBLANK(O99),"",IFERROR(ROUND(O99*'Direct and Indirect Expenses'!$K$20,0),""))</f>
        <v/>
      </c>
      <c r="R99" s="308">
        <f>IFERROR(SUMIF('Direct and Indirect Expenses'!$B$14:$B$34,'Financial Summary &amp; Stats'!B99,'Direct and Indirect Expenses'!$H$14:$H$34)*N99/SUMIF('Financial Summary &amp; Stats'!$B:$B,'Financial Summary &amp; Stats'!B99,'Financial Summary &amp; Stats'!$N:$N),0)</f>
        <v>0</v>
      </c>
      <c r="S99" s="595"/>
      <c r="T99" s="202">
        <f>IFERROR(IF('Direct and Indirect Expenses'!$A$9="Other Indirect Allocation Method",(ROUND((N99+P99)/($N$8+$P$8)*'Direct and Indirect Expenses'!$C$9,0)),ROUND((N99+P99)*'Direct and Indirect Expenses'!$B$9,0)),0)</f>
        <v>0</v>
      </c>
      <c r="U99" s="202">
        <f>IFERROR(ROUND((T99+R99+Q99+P99+N99+S99),0),0)</f>
        <v>0</v>
      </c>
      <c r="V99" s="293" t="str">
        <f>IFERROR(ROUND(U99/F99,2),"")</f>
        <v/>
      </c>
    </row>
    <row r="100" spans="1:25" ht="20.100000000000001" customHeight="1" x14ac:dyDescent="0.2">
      <c r="A100" s="116" t="s">
        <v>70</v>
      </c>
      <c r="B100" s="122" t="s">
        <v>107</v>
      </c>
      <c r="C100" s="122"/>
      <c r="D100" s="123" t="str">
        <f t="array" ref="D100">IFERROR(INDEX('Crosswalk '!$C$9:$C$94,MATCH(1,(B100='Crosswalk '!$B$9:$B$94)*(E100='Crosswalk '!$G$9:$G$94),0)),"")</f>
        <v/>
      </c>
      <c r="E100" s="291" t="str">
        <f t="array" ref="E100">IFERROR(INDEX('Crosswalk '!$E$106:$E$125,MATCH(1,($A$93='Crosswalk '!$D$106:$D$125)*($C100='Crosswalk '!$F$106:$F$125),0)),"")</f>
        <v/>
      </c>
      <c r="F100" s="484"/>
      <c r="G100" s="185"/>
      <c r="H100" s="159" t="str">
        <f t="array" ref="H100">IFERROR(INDEX('Crosswalk '!$E$9:$E$103,MATCH(1,($B100='Crosswalk '!$B$9:$B$103)*($E100='Crosswalk '!$G$9:$G$103),0)),"")</f>
        <v/>
      </c>
      <c r="I100" s="125">
        <f t="shared" si="45"/>
        <v>0</v>
      </c>
      <c r="J100" s="126" t="str">
        <f t="shared" si="46"/>
        <v/>
      </c>
      <c r="K100" s="200">
        <f t="shared" si="47"/>
        <v>0</v>
      </c>
      <c r="L100" s="294">
        <f t="shared" ref="L100:L121" si="50">ROUND(K100*$B$95,0)</f>
        <v>0</v>
      </c>
      <c r="M100" s="294">
        <f t="shared" si="48"/>
        <v>0</v>
      </c>
      <c r="N100" s="186">
        <f t="shared" si="49"/>
        <v>0</v>
      </c>
      <c r="O100" s="201" t="str">
        <f>IFERROR(ROUND(N100/'Direct Prof Sal &amp; Fringes  '!$L$8,8),"")</f>
        <v/>
      </c>
      <c r="P100" s="186" t="str">
        <f>IF(ISBLANK(O100),"",IFERROR(ROUND(O100*' Indirect Non-prof Sal &amp; Fringe'!$M$42,0),""))</f>
        <v/>
      </c>
      <c r="Q100" s="186" t="str">
        <f>IF(ISBLANK(O100),"",IFERROR(ROUND(O100*'Direct and Indirect Expenses'!$K$20,0),""))</f>
        <v/>
      </c>
      <c r="R100" s="309">
        <f>IFERROR(SUMIF('Direct and Indirect Expenses'!$B$14:$B$34,'Financial Summary &amp; Stats'!B100,'Direct and Indirect Expenses'!$H$14:$H$34)*N100/SUMIF('Financial Summary &amp; Stats'!$B:$B,'Financial Summary &amp; Stats'!B100,'Financial Summary &amp; Stats'!$N:$N),0)</f>
        <v>0</v>
      </c>
      <c r="S100" s="595"/>
      <c r="T100" s="202">
        <f>IFERROR(IF('Direct and Indirect Expenses'!$A$9="Other Indirect Allocation Method",(ROUND((N100+P100)/($N$8+$P$8)*'Direct and Indirect Expenses'!$C$9,0)),ROUND((N100+P100)*'Direct and Indirect Expenses'!$B$9,0)),0)</f>
        <v>0</v>
      </c>
      <c r="U100" s="202">
        <f t="shared" ref="U100:U121" si="51">IFERROR(ROUND((T100+R100+Q100+P100+N100+S100),0),0)</f>
        <v>0</v>
      </c>
      <c r="V100" s="293" t="str">
        <f t="shared" ref="V100:V121" si="52">IFERROR(ROUND(U100/F100,2),"")</f>
        <v/>
      </c>
      <c r="Y100" s="128"/>
    </row>
    <row r="101" spans="1:25" ht="20.100000000000001" customHeight="1" x14ac:dyDescent="0.2">
      <c r="A101" s="116" t="s">
        <v>115</v>
      </c>
      <c r="B101" s="122" t="s">
        <v>71</v>
      </c>
      <c r="C101" s="122"/>
      <c r="D101" s="123" t="str">
        <f t="array" ref="D101">IFERROR(INDEX('Crosswalk '!$C$9:$C$94,MATCH(1,(B101='Crosswalk '!$B$9:$B$94)*(E101='Crosswalk '!$G$9:$G$94),0)),"")</f>
        <v/>
      </c>
      <c r="E101" s="291" t="str">
        <f t="array" ref="E101">IFERROR(INDEX('Crosswalk '!$E$106:$E$125,MATCH(1,($A$93='Crosswalk '!$D$106:$D$125)*($C101='Crosswalk '!$F$106:$F$125),0)),"")</f>
        <v/>
      </c>
      <c r="F101" s="484"/>
      <c r="G101" s="185"/>
      <c r="H101" s="159" t="str">
        <f t="array" ref="H101">IFERROR(INDEX('Crosswalk '!$E$9:$E$103,MATCH(1,($B101='Crosswalk '!$B$9:$B$103)*($E101='Crosswalk '!$G$9:$G$103),0)),"")</f>
        <v/>
      </c>
      <c r="I101" s="125">
        <f t="shared" si="45"/>
        <v>0</v>
      </c>
      <c r="J101" s="126" t="str">
        <f t="shared" si="46"/>
        <v/>
      </c>
      <c r="K101" s="200">
        <f t="shared" si="47"/>
        <v>0</v>
      </c>
      <c r="L101" s="294">
        <f t="shared" si="50"/>
        <v>0</v>
      </c>
      <c r="M101" s="294">
        <f t="shared" si="48"/>
        <v>0</v>
      </c>
      <c r="N101" s="186">
        <f t="shared" si="49"/>
        <v>0</v>
      </c>
      <c r="O101" s="201" t="str">
        <f>IFERROR(ROUND(N101/'Direct Prof Sal &amp; Fringes  '!$L$8,8),"")</f>
        <v/>
      </c>
      <c r="P101" s="186" t="str">
        <f>IF(ISBLANK(O101),"",IFERROR(ROUND(O101*' Indirect Non-prof Sal &amp; Fringe'!$M$42,0),""))</f>
        <v/>
      </c>
      <c r="Q101" s="186" t="str">
        <f>IF(ISBLANK(O101),"",IFERROR(ROUND(O101*'Direct and Indirect Expenses'!$K$20,0),""))</f>
        <v/>
      </c>
      <c r="R101" s="309">
        <f>IFERROR(SUMIF('Direct and Indirect Expenses'!$B$14:$B$34,'Financial Summary &amp; Stats'!B101,'Direct and Indirect Expenses'!$H$14:$H$34)*N101/SUMIF('Financial Summary &amp; Stats'!$B:$B,'Financial Summary &amp; Stats'!B101,'Financial Summary &amp; Stats'!$N:$N),0)</f>
        <v>0</v>
      </c>
      <c r="S101" s="595"/>
      <c r="T101" s="202">
        <f>IFERROR(IF('Direct and Indirect Expenses'!$A$9="Other Indirect Allocation Method",(ROUND((N101+P101)/($N$8+$P$8)*'Direct and Indirect Expenses'!$C$9,0)),ROUND((N101+P101)*'Direct and Indirect Expenses'!$B$9,0)),0)</f>
        <v>0</v>
      </c>
      <c r="U101" s="202">
        <f t="shared" si="51"/>
        <v>0</v>
      </c>
      <c r="V101" s="293" t="str">
        <f t="shared" si="52"/>
        <v/>
      </c>
      <c r="Y101" s="128"/>
    </row>
    <row r="102" spans="1:25" ht="20.100000000000001" customHeight="1" x14ac:dyDescent="0.2">
      <c r="A102" s="116" t="s">
        <v>118</v>
      </c>
      <c r="B102" s="122" t="s">
        <v>124</v>
      </c>
      <c r="C102" s="122"/>
      <c r="D102" s="123" t="str">
        <f t="array" ref="D102">IFERROR(INDEX('Crosswalk '!$C$9:$C$94,MATCH(1,(B102='Crosswalk '!$B$9:$B$94)*(E102='Crosswalk '!$G$9:$G$94),0)),"")</f>
        <v/>
      </c>
      <c r="E102" s="291" t="str">
        <f t="array" ref="E102">IFERROR(INDEX('Crosswalk '!$E$106:$E$125,MATCH(1,($A$93='Crosswalk '!$D$106:$D$125)*($C102='Crosswalk '!$F$106:$F$125),0)),"")</f>
        <v/>
      </c>
      <c r="F102" s="484"/>
      <c r="G102" s="185"/>
      <c r="H102" s="159" t="str">
        <f t="array" ref="H102">IFERROR(INDEX('Crosswalk '!$E$9:$E$103,MATCH(1,($B102='Crosswalk '!$B$9:$B$103)*($E102='Crosswalk '!$G$9:$G$103),0)),"")</f>
        <v/>
      </c>
      <c r="I102" s="125">
        <f t="shared" si="45"/>
        <v>0</v>
      </c>
      <c r="J102" s="126" t="str">
        <f t="shared" si="46"/>
        <v/>
      </c>
      <c r="K102" s="200">
        <f t="shared" si="47"/>
        <v>0</v>
      </c>
      <c r="L102" s="294">
        <f t="shared" si="50"/>
        <v>0</v>
      </c>
      <c r="M102" s="294">
        <f t="shared" si="48"/>
        <v>0</v>
      </c>
      <c r="N102" s="186">
        <f t="shared" si="49"/>
        <v>0</v>
      </c>
      <c r="O102" s="201" t="str">
        <f>IFERROR(ROUND(N102/'Direct Prof Sal &amp; Fringes  '!$L$8,8),"")</f>
        <v/>
      </c>
      <c r="P102" s="186" t="str">
        <f>IF(ISBLANK(O102),"",IFERROR(ROUND(O102*' Indirect Non-prof Sal &amp; Fringe'!$M$42,0),""))</f>
        <v/>
      </c>
      <c r="Q102" s="186" t="str">
        <f>IF(ISBLANK(O102),"",IFERROR(ROUND(O102*'Direct and Indirect Expenses'!$K$20,0),""))</f>
        <v/>
      </c>
      <c r="R102" s="309">
        <f>IFERROR(SUMIF('Direct and Indirect Expenses'!$B$14:$B$34,'Financial Summary &amp; Stats'!B102,'Direct and Indirect Expenses'!$H$14:$H$34)*N102/SUMIF('Financial Summary &amp; Stats'!$B:$B,'Financial Summary &amp; Stats'!B102,'Financial Summary &amp; Stats'!$N:$N),0)</f>
        <v>0</v>
      </c>
      <c r="S102" s="595"/>
      <c r="T102" s="202">
        <f>IFERROR(IF('Direct and Indirect Expenses'!$A$9="Other Indirect Allocation Method",(ROUND((N102+P102)/($N$8+$P$8)*'Direct and Indirect Expenses'!$C$9,0)),ROUND((N102+P102)*'Direct and Indirect Expenses'!$B$9,0)),0)</f>
        <v>0</v>
      </c>
      <c r="U102" s="202">
        <f t="shared" si="51"/>
        <v>0</v>
      </c>
      <c r="V102" s="293" t="str">
        <f t="shared" si="52"/>
        <v/>
      </c>
      <c r="Y102" s="128"/>
    </row>
    <row r="103" spans="1:25" ht="20.100000000000001" customHeight="1" x14ac:dyDescent="0.2">
      <c r="A103" s="116" t="s">
        <v>119</v>
      </c>
      <c r="B103" s="132" t="s">
        <v>126</v>
      </c>
      <c r="C103" s="122"/>
      <c r="D103" s="123" t="str">
        <f t="array" ref="D103">IFERROR(INDEX('Crosswalk '!$C$9:$C$94,MATCH(1,(B103='Crosswalk '!$B$9:$B$94)*(E103='Crosswalk '!$G$9:$G$94),0)),"")</f>
        <v/>
      </c>
      <c r="E103" s="291" t="str">
        <f t="array" ref="E103">IFERROR(INDEX('Crosswalk '!$E$106:$E$125,MATCH(1,($A$93='Crosswalk '!$D$106:$D$125)*($C103='Crosswalk '!$F$106:$F$125),0)),"")</f>
        <v/>
      </c>
      <c r="F103" s="484"/>
      <c r="G103" s="185"/>
      <c r="H103" s="159" t="str">
        <f t="array" ref="H103">IFERROR(INDEX('Crosswalk '!$E$9:$E$103,MATCH(1,($B103='Crosswalk '!$B$9:$B$103)*($E103='Crosswalk '!$G$9:$G$103),0)),"")</f>
        <v/>
      </c>
      <c r="I103" s="125">
        <f t="shared" si="45"/>
        <v>0</v>
      </c>
      <c r="J103" s="126" t="str">
        <f t="shared" si="46"/>
        <v/>
      </c>
      <c r="K103" s="200">
        <f t="shared" si="47"/>
        <v>0</v>
      </c>
      <c r="L103" s="294">
        <f t="shared" si="50"/>
        <v>0</v>
      </c>
      <c r="M103" s="294">
        <f t="shared" si="48"/>
        <v>0</v>
      </c>
      <c r="N103" s="186">
        <f t="shared" si="49"/>
        <v>0</v>
      </c>
      <c r="O103" s="201" t="str">
        <f>IFERROR(ROUND(N103/'Direct Prof Sal &amp; Fringes  '!$L$8,8),"")</f>
        <v/>
      </c>
      <c r="P103" s="186" t="str">
        <f>IF(ISBLANK(O103),"",IFERROR(ROUND(O103*' Indirect Non-prof Sal &amp; Fringe'!$M$42,0),""))</f>
        <v/>
      </c>
      <c r="Q103" s="186" t="str">
        <f>IF(ISBLANK(O103),"",IFERROR(ROUND(O103*'Direct and Indirect Expenses'!$K$20,0),""))</f>
        <v/>
      </c>
      <c r="R103" s="309">
        <f>IFERROR(SUMIF('Direct and Indirect Expenses'!$B$14:$B$34,'Financial Summary &amp; Stats'!B103,'Direct and Indirect Expenses'!$H$14:$H$34)*N103/SUMIF('Financial Summary &amp; Stats'!$B:$B,'Financial Summary &amp; Stats'!B103,'Financial Summary &amp; Stats'!$N:$N),0)</f>
        <v>0</v>
      </c>
      <c r="S103" s="595"/>
      <c r="T103" s="202">
        <f>IFERROR(IF('Direct and Indirect Expenses'!$A$9="Other Indirect Allocation Method",(ROUND((N103+P103)/($N$8+$P$8)*'Direct and Indirect Expenses'!$C$9,0)),ROUND((N103+P103)*'Direct and Indirect Expenses'!$B$9,0)),0)</f>
        <v>0</v>
      </c>
      <c r="U103" s="202">
        <f t="shared" si="51"/>
        <v>0</v>
      </c>
      <c r="V103" s="293" t="str">
        <f t="shared" si="52"/>
        <v/>
      </c>
      <c r="W103" s="51"/>
    </row>
    <row r="104" spans="1:25" ht="20.100000000000001" customHeight="1" x14ac:dyDescent="0.2">
      <c r="A104" s="116" t="s">
        <v>80</v>
      </c>
      <c r="B104" s="122" t="s">
        <v>81</v>
      </c>
      <c r="C104" s="122"/>
      <c r="D104" s="123" t="str">
        <f t="array" ref="D104">IFERROR(INDEX('Crosswalk '!$C$9:$C$94,MATCH(1,(B104='Crosswalk '!$B$9:$B$94)*(E104='Crosswalk '!$G$9:$G$94),0)),"")</f>
        <v/>
      </c>
      <c r="E104" s="291" t="str">
        <f t="array" ref="E104">IFERROR(INDEX('Crosswalk '!$E$106:$E$125,MATCH(1,($A$93='Crosswalk '!$D$106:$D$125)*($C104='Crosswalk '!$F$106:$F$125),0)),"")</f>
        <v/>
      </c>
      <c r="F104" s="484"/>
      <c r="G104" s="185"/>
      <c r="H104" s="159" t="str">
        <f t="array" ref="H104">IFERROR(INDEX('Crosswalk '!$E$9:$E$103,MATCH(1,($B104='Crosswalk '!$B$9:$B$103)*($E104='Crosswalk '!$G$9:$G$103),0)),"")</f>
        <v/>
      </c>
      <c r="I104" s="125">
        <f t="shared" si="45"/>
        <v>0</v>
      </c>
      <c r="J104" s="126" t="str">
        <f t="shared" si="46"/>
        <v/>
      </c>
      <c r="K104" s="200">
        <f t="shared" si="47"/>
        <v>0</v>
      </c>
      <c r="L104" s="294">
        <f t="shared" si="50"/>
        <v>0</v>
      </c>
      <c r="M104" s="294">
        <f t="shared" si="48"/>
        <v>0</v>
      </c>
      <c r="N104" s="186">
        <f t="shared" si="49"/>
        <v>0</v>
      </c>
      <c r="O104" s="201" t="str">
        <f>IFERROR(ROUND(N104/'Direct Prof Sal &amp; Fringes  '!$L$8,8),"")</f>
        <v/>
      </c>
      <c r="P104" s="186" t="str">
        <f>IF(ISBLANK(O104),"",IFERROR(ROUND(O104*' Indirect Non-prof Sal &amp; Fringe'!$M$42,0),""))</f>
        <v/>
      </c>
      <c r="Q104" s="186" t="str">
        <f>IF(ISBLANK(O104),"",IFERROR(ROUND(O104*'Direct and Indirect Expenses'!$K$20,0),""))</f>
        <v/>
      </c>
      <c r="R104" s="309">
        <f>IFERROR(SUMIF('Direct and Indirect Expenses'!$B$14:$B$34,'Financial Summary &amp; Stats'!B104,'Direct and Indirect Expenses'!$H$14:$H$34)*N104/SUMIF('Financial Summary &amp; Stats'!$B:$B,'Financial Summary &amp; Stats'!B104,'Financial Summary &amp; Stats'!$N:$N),0)</f>
        <v>0</v>
      </c>
      <c r="S104" s="595"/>
      <c r="T104" s="202">
        <f>IFERROR(IF('Direct and Indirect Expenses'!$A$9="Other Indirect Allocation Method",(ROUND((N104+P104)/($N$8+$P$8)*'Direct and Indirect Expenses'!$C$9,0)),ROUND((N104+P104)*'Direct and Indirect Expenses'!$B$9,0)),0)</f>
        <v>0</v>
      </c>
      <c r="U104" s="202">
        <f t="shared" si="51"/>
        <v>0</v>
      </c>
      <c r="V104" s="293" t="str">
        <f t="shared" si="52"/>
        <v/>
      </c>
      <c r="Y104" s="128"/>
    </row>
    <row r="105" spans="1:25" ht="20.100000000000001" customHeight="1" x14ac:dyDescent="0.2">
      <c r="A105" s="116" t="s">
        <v>111</v>
      </c>
      <c r="B105" s="122">
        <v>90846</v>
      </c>
      <c r="C105" s="122"/>
      <c r="D105" s="123" t="str">
        <f t="array" ref="D105">IFERROR(INDEX('Crosswalk '!$C$9:$C$94,MATCH(1,(B105='Crosswalk '!$B$9:$B$94)*(E105='Crosswalk '!$G$9:$G$94),0)),"")</f>
        <v/>
      </c>
      <c r="E105" s="291" t="str">
        <f t="array" ref="E105">IFERROR(INDEX('Crosswalk '!$E$106:$E$125,MATCH(1,($A$93='Crosswalk '!$D$106:$D$125)*($C105='Crosswalk '!$F$106:$F$125),0)),"")</f>
        <v/>
      </c>
      <c r="F105" s="484"/>
      <c r="G105" s="185"/>
      <c r="H105" s="159" t="str">
        <f t="array" ref="H105">IFERROR(INDEX('Crosswalk '!$E$9:$E$103,MATCH(1,($B105='Crosswalk '!$B$9:$B$103)*($E105='Crosswalk '!$G$9:$G$103),0)),"")</f>
        <v/>
      </c>
      <c r="I105" s="125">
        <f t="shared" si="45"/>
        <v>0</v>
      </c>
      <c r="J105" s="126" t="str">
        <f t="shared" si="46"/>
        <v/>
      </c>
      <c r="K105" s="200">
        <f t="shared" si="47"/>
        <v>0</v>
      </c>
      <c r="L105" s="294">
        <f t="shared" si="50"/>
        <v>0</v>
      </c>
      <c r="M105" s="294">
        <f t="shared" si="48"/>
        <v>0</v>
      </c>
      <c r="N105" s="186">
        <f t="shared" si="49"/>
        <v>0</v>
      </c>
      <c r="O105" s="201" t="str">
        <f>IFERROR(ROUND(N105/'Direct Prof Sal &amp; Fringes  '!$L$8,8),"")</f>
        <v/>
      </c>
      <c r="P105" s="186" t="str">
        <f>IF(ISBLANK(O105),"",IFERROR(ROUND(O105*' Indirect Non-prof Sal &amp; Fringe'!$M$42,0),""))</f>
        <v/>
      </c>
      <c r="Q105" s="186" t="str">
        <f>IF(ISBLANK(O105),"",IFERROR(ROUND(O105*'Direct and Indirect Expenses'!$K$20,0),""))</f>
        <v/>
      </c>
      <c r="R105" s="309">
        <f>IFERROR(SUMIF('Direct and Indirect Expenses'!$B$14:$B$34,'Financial Summary &amp; Stats'!B105,'Direct and Indirect Expenses'!$H$14:$H$34)*N105/SUMIF('Financial Summary &amp; Stats'!$B:$B,'Financial Summary &amp; Stats'!B105,'Financial Summary &amp; Stats'!$N:$N),0)</f>
        <v>0</v>
      </c>
      <c r="S105" s="595"/>
      <c r="T105" s="202">
        <f>IFERROR(IF('Direct and Indirect Expenses'!$A$9="Other Indirect Allocation Method",(ROUND((N105+P105)/($N$8+$P$8)*'Direct and Indirect Expenses'!$C$9,0)),ROUND((N105+P105)*'Direct and Indirect Expenses'!$B$9,0)),0)</f>
        <v>0</v>
      </c>
      <c r="U105" s="202">
        <f t="shared" si="51"/>
        <v>0</v>
      </c>
      <c r="V105" s="293" t="str">
        <f t="shared" si="52"/>
        <v/>
      </c>
      <c r="Y105" s="128"/>
    </row>
    <row r="106" spans="1:25" ht="20.100000000000001" customHeight="1" x14ac:dyDescent="0.2">
      <c r="A106" s="116" t="s">
        <v>112</v>
      </c>
      <c r="B106" s="122">
        <v>90847</v>
      </c>
      <c r="C106" s="122"/>
      <c r="D106" s="123" t="str">
        <f t="array" ref="D106">IFERROR(INDEX('Crosswalk '!$C$9:$C$94,MATCH(1,(B106='Crosswalk '!$B$9:$B$94)*(E106='Crosswalk '!$G$9:$G$94),0)),"")</f>
        <v/>
      </c>
      <c r="E106" s="291" t="str">
        <f t="array" ref="E106">IFERROR(INDEX('Crosswalk '!$E$106:$E$125,MATCH(1,($A$93='Crosswalk '!$D$106:$D$125)*($C106='Crosswalk '!$F$106:$F$125),0)),"")</f>
        <v/>
      </c>
      <c r="F106" s="484"/>
      <c r="G106" s="185"/>
      <c r="H106" s="159" t="str">
        <f t="array" ref="H106">IFERROR(INDEX('Crosswalk '!$E$9:$E$103,MATCH(1,($B106='Crosswalk '!$B$9:$B$103)*($E106='Crosswalk '!$G$9:$G$103),0)),"")</f>
        <v/>
      </c>
      <c r="I106" s="125">
        <f t="shared" si="45"/>
        <v>0</v>
      </c>
      <c r="J106" s="126" t="str">
        <f t="shared" si="46"/>
        <v/>
      </c>
      <c r="K106" s="200">
        <f t="shared" si="47"/>
        <v>0</v>
      </c>
      <c r="L106" s="294">
        <f t="shared" si="50"/>
        <v>0</v>
      </c>
      <c r="M106" s="294">
        <f t="shared" si="48"/>
        <v>0</v>
      </c>
      <c r="N106" s="186">
        <f t="shared" si="49"/>
        <v>0</v>
      </c>
      <c r="O106" s="201" t="str">
        <f>IFERROR(ROUND(N106/'Direct Prof Sal &amp; Fringes  '!$L$8,8),"")</f>
        <v/>
      </c>
      <c r="P106" s="186" t="str">
        <f>IF(ISBLANK(O106),"",IFERROR(ROUND(O106*' Indirect Non-prof Sal &amp; Fringe'!$M$42,0),""))</f>
        <v/>
      </c>
      <c r="Q106" s="186" t="str">
        <f>IF(ISBLANK(O106),"",IFERROR(ROUND(O106*'Direct and Indirect Expenses'!$K$20,0),""))</f>
        <v/>
      </c>
      <c r="R106" s="309">
        <f>IFERROR(SUMIF('Direct and Indirect Expenses'!$B$14:$B$34,'Financial Summary &amp; Stats'!B106,'Direct and Indirect Expenses'!$H$14:$H$34)*N106/SUMIF('Financial Summary &amp; Stats'!$B:$B,'Financial Summary &amp; Stats'!B106,'Financial Summary &amp; Stats'!$N:$N),0)</f>
        <v>0</v>
      </c>
      <c r="S106" s="595"/>
      <c r="T106" s="202">
        <f>IFERROR(IF('Direct and Indirect Expenses'!$A$9="Other Indirect Allocation Method",(ROUND((N106+P106)/($N$8+$P$8)*'Direct and Indirect Expenses'!$C$9,0)),ROUND((N106+P106)*'Direct and Indirect Expenses'!$B$9,0)),0)</f>
        <v>0</v>
      </c>
      <c r="U106" s="202">
        <f t="shared" si="51"/>
        <v>0</v>
      </c>
      <c r="V106" s="293" t="str">
        <f t="shared" si="52"/>
        <v/>
      </c>
      <c r="Y106" s="128"/>
    </row>
    <row r="107" spans="1:25" ht="20.100000000000001" customHeight="1" x14ac:dyDescent="0.2">
      <c r="A107" s="116" t="s">
        <v>72</v>
      </c>
      <c r="B107" s="122">
        <v>90853</v>
      </c>
      <c r="C107" s="122"/>
      <c r="D107" s="123" t="str">
        <f t="array" ref="D107">IFERROR(INDEX('Crosswalk '!$C$9:$C$94,MATCH(1,(B107='Crosswalk '!$B$9:$B$94)*(E107='Crosswalk '!$G$9:$G$94),0)),"")</f>
        <v/>
      </c>
      <c r="E107" s="291" t="str">
        <f t="array" ref="E107">IFERROR(INDEX('Crosswalk '!$E$106:$E$125,MATCH(1,($A$93='Crosswalk '!$D$106:$D$125)*($C107='Crosswalk '!$F$106:$F$125),0)),"")</f>
        <v/>
      </c>
      <c r="F107" s="484"/>
      <c r="G107" s="486"/>
      <c r="H107" s="159" t="str">
        <f t="array" ref="H107">IFERROR(INDEX('Crosswalk '!$E$9:$E$103,MATCH(1,($B107='Crosswalk '!$B$9:$B$103)*($E107='Crosswalk '!$G$9:$G$103),0)),"")</f>
        <v/>
      </c>
      <c r="I107" s="166"/>
      <c r="J107" s="126" t="str">
        <f t="shared" si="46"/>
        <v/>
      </c>
      <c r="K107" s="200">
        <f t="shared" si="47"/>
        <v>0</v>
      </c>
      <c r="L107" s="294">
        <f t="shared" si="50"/>
        <v>0</v>
      </c>
      <c r="M107" s="294">
        <f t="shared" si="48"/>
        <v>0</v>
      </c>
      <c r="N107" s="186">
        <f t="shared" si="49"/>
        <v>0</v>
      </c>
      <c r="O107" s="201" t="str">
        <f>IFERROR(ROUND(N107/'Direct Prof Sal &amp; Fringes  '!$L$8,8),"")</f>
        <v/>
      </c>
      <c r="P107" s="186" t="str">
        <f>IF(ISBLANK(O107),"",IFERROR(ROUND(O107*' Indirect Non-prof Sal &amp; Fringe'!$M$42,0),""))</f>
        <v/>
      </c>
      <c r="Q107" s="186" t="str">
        <f>IF(ISBLANK(O107),"",IFERROR(ROUND(O107*'Direct and Indirect Expenses'!$K$20,0),""))</f>
        <v/>
      </c>
      <c r="R107" s="309">
        <f>IFERROR(SUMIF('Direct and Indirect Expenses'!$B$14:$B$34,'Financial Summary &amp; Stats'!B107,'Direct and Indirect Expenses'!$H$14:$H$34)*N107/SUMIF('Financial Summary &amp; Stats'!$B:$B,'Financial Summary &amp; Stats'!B107,'Financial Summary &amp; Stats'!$N:$N),0)</f>
        <v>0</v>
      </c>
      <c r="S107" s="595"/>
      <c r="T107" s="202">
        <f>IFERROR(IF('Direct and Indirect Expenses'!$A$9="Other Indirect Allocation Method",(ROUND((N107+P107)/($N$8+$P$8)*'Direct and Indirect Expenses'!$C$9,0)),ROUND((N107+P107)*'Direct and Indirect Expenses'!$B$9,0)),0)</f>
        <v>0</v>
      </c>
      <c r="U107" s="202">
        <f t="shared" si="51"/>
        <v>0</v>
      </c>
      <c r="V107" s="293" t="str">
        <f t="shared" si="52"/>
        <v/>
      </c>
      <c r="Y107" s="128"/>
    </row>
    <row r="108" spans="1:25" ht="20.100000000000001" customHeight="1" x14ac:dyDescent="0.2">
      <c r="A108" s="116" t="s">
        <v>127</v>
      </c>
      <c r="B108" s="122">
        <v>90832</v>
      </c>
      <c r="C108" s="122"/>
      <c r="D108" s="123" t="str">
        <f t="array" ref="D108">IFERROR(INDEX('Crosswalk '!$C$9:$C$94,MATCH(1,(B108='Crosswalk '!$B$9:$B$94)*(E108='Crosswalk '!$G$9:$G$94),0)),"")</f>
        <v/>
      </c>
      <c r="E108" s="291" t="str">
        <f t="array" ref="E108">IFERROR(INDEX('Crosswalk '!$E$106:$E$125,MATCH(1,($A$93='Crosswalk '!$D$106:$D$125)*($C108='Crosswalk '!$F$106:$F$125),0)),"")</f>
        <v/>
      </c>
      <c r="F108" s="484"/>
      <c r="G108" s="181"/>
      <c r="H108" s="159" t="str">
        <f t="array" ref="H108">IFERROR(INDEX('Crosswalk '!$E$9:$E$103,MATCH(1,($B108='Crosswalk '!$B$9:$B$103)*($E108='Crosswalk '!$G$9:$G$103),0)),"")</f>
        <v/>
      </c>
      <c r="I108" s="125">
        <f t="shared" ref="I108:I116" si="53">IFERROR(ROUND(F108*H108,2),0)</f>
        <v>0</v>
      </c>
      <c r="J108" s="126" t="str">
        <f t="shared" si="46"/>
        <v/>
      </c>
      <c r="K108" s="200">
        <f t="shared" si="47"/>
        <v>0</v>
      </c>
      <c r="L108" s="294">
        <f t="shared" si="50"/>
        <v>0</v>
      </c>
      <c r="M108" s="294">
        <f t="shared" si="48"/>
        <v>0</v>
      </c>
      <c r="N108" s="186">
        <f t="shared" si="49"/>
        <v>0</v>
      </c>
      <c r="O108" s="201" t="str">
        <f>IFERROR(ROUND(N108/'Direct Prof Sal &amp; Fringes  '!$L$8,8),"")</f>
        <v/>
      </c>
      <c r="P108" s="186" t="str">
        <f>IF(ISBLANK(O108),"",IFERROR(ROUND(O108*' Indirect Non-prof Sal &amp; Fringe'!$M$42,0),""))</f>
        <v/>
      </c>
      <c r="Q108" s="186" t="str">
        <f>IF(ISBLANK(O108),"",IFERROR(ROUND(O108*'Direct and Indirect Expenses'!$K$20,0),""))</f>
        <v/>
      </c>
      <c r="R108" s="309">
        <f>IFERROR(SUMIF('Direct and Indirect Expenses'!$B$14:$B$34,'Financial Summary &amp; Stats'!B108,'Direct and Indirect Expenses'!$H$14:$H$34)*N108/SUMIF('Financial Summary &amp; Stats'!$B:$B,'Financial Summary &amp; Stats'!B108,'Financial Summary &amp; Stats'!$N:$N),0)</f>
        <v>0</v>
      </c>
      <c r="S108" s="595"/>
      <c r="T108" s="202">
        <f>IFERROR(IF('Direct and Indirect Expenses'!$A$9="Other Indirect Allocation Method",(ROUND((N108+P108)/($N$8+$P$8)*'Direct and Indirect Expenses'!$C$9,0)),ROUND((N108+P108)*'Direct and Indirect Expenses'!$B$9,0)),0)</f>
        <v>0</v>
      </c>
      <c r="U108" s="202">
        <f t="shared" si="51"/>
        <v>0</v>
      </c>
      <c r="V108" s="293" t="str">
        <f t="shared" si="52"/>
        <v/>
      </c>
      <c r="Y108" s="128"/>
    </row>
    <row r="109" spans="1:25" ht="20.100000000000001" customHeight="1" x14ac:dyDescent="0.2">
      <c r="A109" s="116" t="s">
        <v>128</v>
      </c>
      <c r="B109" s="122">
        <v>90834</v>
      </c>
      <c r="C109" s="122"/>
      <c r="D109" s="123" t="str">
        <f t="array" ref="D109">IFERROR(INDEX('Crosswalk '!$C$9:$C$94,MATCH(1,(B109='Crosswalk '!$B$9:$B$94)*(E109='Crosswalk '!$G$9:$G$94),0)),"")</f>
        <v/>
      </c>
      <c r="E109" s="291" t="str">
        <f t="array" ref="E109">IFERROR(INDEX('Crosswalk '!$E$106:$E$125,MATCH(1,($A$93='Crosswalk '!$D$106:$D$125)*($C109='Crosswalk '!$F$106:$F$125),0)),"")</f>
        <v/>
      </c>
      <c r="F109" s="484"/>
      <c r="G109" s="181"/>
      <c r="H109" s="159" t="str">
        <f t="array" ref="H109">IFERROR(INDEX('Crosswalk '!$E$9:$E$103,MATCH(1,($B109='Crosswalk '!$B$9:$B$103)*($E109='Crosswalk '!$G$9:$G$103),0)),"")</f>
        <v/>
      </c>
      <c r="I109" s="125">
        <f t="shared" si="53"/>
        <v>0</v>
      </c>
      <c r="J109" s="126" t="str">
        <f t="shared" si="46"/>
        <v/>
      </c>
      <c r="K109" s="200">
        <f t="shared" si="47"/>
        <v>0</v>
      </c>
      <c r="L109" s="294">
        <f t="shared" si="50"/>
        <v>0</v>
      </c>
      <c r="M109" s="294">
        <f t="shared" si="48"/>
        <v>0</v>
      </c>
      <c r="N109" s="186">
        <f t="shared" si="49"/>
        <v>0</v>
      </c>
      <c r="O109" s="201" t="str">
        <f>IFERROR(ROUND(N109/'Direct Prof Sal &amp; Fringes  '!$L$8,8),"")</f>
        <v/>
      </c>
      <c r="P109" s="186" t="str">
        <f>IF(ISBLANK(O109),"",IFERROR(ROUND(O109*' Indirect Non-prof Sal &amp; Fringe'!$M$42,0),""))</f>
        <v/>
      </c>
      <c r="Q109" s="186" t="str">
        <f>IF(ISBLANK(O109),"",IFERROR(ROUND(O109*'Direct and Indirect Expenses'!$K$20,0),""))</f>
        <v/>
      </c>
      <c r="R109" s="309">
        <f>IFERROR(SUMIF('Direct and Indirect Expenses'!$B$14:$B$34,'Financial Summary &amp; Stats'!B109,'Direct and Indirect Expenses'!$H$14:$H$34)*N109/SUMIF('Financial Summary &amp; Stats'!$B:$B,'Financial Summary &amp; Stats'!B109,'Financial Summary &amp; Stats'!$N:$N),0)</f>
        <v>0</v>
      </c>
      <c r="S109" s="595"/>
      <c r="T109" s="202">
        <f>IFERROR(IF('Direct and Indirect Expenses'!$A$9="Other Indirect Allocation Method",(ROUND((N109+P109)/($N$8+$P$8)*'Direct and Indirect Expenses'!$C$9,0)),ROUND((N109+P109)*'Direct and Indirect Expenses'!$B$9,0)),0)</f>
        <v>0</v>
      </c>
      <c r="U109" s="202">
        <f t="shared" si="51"/>
        <v>0</v>
      </c>
      <c r="V109" s="293" t="str">
        <f t="shared" si="52"/>
        <v/>
      </c>
      <c r="Y109" s="128"/>
    </row>
    <row r="110" spans="1:25" ht="20.100000000000001" customHeight="1" x14ac:dyDescent="0.2">
      <c r="A110" s="116" t="s">
        <v>129</v>
      </c>
      <c r="B110" s="122">
        <v>90837</v>
      </c>
      <c r="C110" s="122"/>
      <c r="D110" s="123" t="str">
        <f t="array" ref="D110">IFERROR(INDEX('Crosswalk '!$C$9:$C$94,MATCH(1,(B110='Crosswalk '!$B$9:$B$94)*(E110='Crosswalk '!$G$9:$G$94),0)),"")</f>
        <v/>
      </c>
      <c r="E110" s="291" t="str">
        <f t="array" ref="E110">IFERROR(INDEX('Crosswalk '!$E$106:$E$125,MATCH(1,($A$93='Crosswalk '!$D$106:$D$125)*($C110='Crosswalk '!$F$106:$F$125),0)),"")</f>
        <v/>
      </c>
      <c r="F110" s="484"/>
      <c r="G110" s="181"/>
      <c r="H110" s="159" t="str">
        <f t="array" ref="H110">IFERROR(INDEX('Crosswalk '!$E$9:$E$103,MATCH(1,($B110='Crosswalk '!$B$9:$B$103)*($E110='Crosswalk '!$G$9:$G$103),0)),"")</f>
        <v/>
      </c>
      <c r="I110" s="125">
        <f t="shared" si="53"/>
        <v>0</v>
      </c>
      <c r="J110" s="126" t="str">
        <f t="shared" si="46"/>
        <v/>
      </c>
      <c r="K110" s="200">
        <f t="shared" si="47"/>
        <v>0</v>
      </c>
      <c r="L110" s="294">
        <f t="shared" si="50"/>
        <v>0</v>
      </c>
      <c r="M110" s="294">
        <f t="shared" si="48"/>
        <v>0</v>
      </c>
      <c r="N110" s="186">
        <f t="shared" si="49"/>
        <v>0</v>
      </c>
      <c r="O110" s="201" t="str">
        <f>IFERROR(ROUND(N110/'Direct Prof Sal &amp; Fringes  '!$L$8,8),"")</f>
        <v/>
      </c>
      <c r="P110" s="186" t="str">
        <f>IF(ISBLANK(O110),"",IFERROR(ROUND(O110*' Indirect Non-prof Sal &amp; Fringe'!$M$42,0),""))</f>
        <v/>
      </c>
      <c r="Q110" s="186" t="str">
        <f>IF(ISBLANK(O110),"",IFERROR(ROUND(O110*'Direct and Indirect Expenses'!$K$20,0),""))</f>
        <v/>
      </c>
      <c r="R110" s="309">
        <f>IFERROR(SUMIF('Direct and Indirect Expenses'!$B$14:$B$34,'Financial Summary &amp; Stats'!B110,'Direct and Indirect Expenses'!$H$14:$H$34)*N110/SUMIF('Financial Summary &amp; Stats'!$B:$B,'Financial Summary &amp; Stats'!B110,'Financial Summary &amp; Stats'!$N:$N),0)</f>
        <v>0</v>
      </c>
      <c r="S110" s="595"/>
      <c r="T110" s="202">
        <f>IFERROR(IF('Direct and Indirect Expenses'!$A$9="Other Indirect Allocation Method",(ROUND((N110+P110)/($N$8+$P$8)*'Direct and Indirect Expenses'!$C$9,0)),ROUND((N110+P110)*'Direct and Indirect Expenses'!$B$9,0)),0)</f>
        <v>0</v>
      </c>
      <c r="U110" s="202">
        <f t="shared" si="51"/>
        <v>0</v>
      </c>
      <c r="V110" s="293" t="str">
        <f t="shared" si="52"/>
        <v/>
      </c>
      <c r="Y110" s="128"/>
    </row>
    <row r="111" spans="1:25" ht="20.100000000000001" customHeight="1" x14ac:dyDescent="0.2">
      <c r="A111" s="116" t="s">
        <v>114</v>
      </c>
      <c r="B111" s="122" t="s">
        <v>113</v>
      </c>
      <c r="C111" s="122"/>
      <c r="D111" s="123" t="str">
        <f t="array" ref="D111">IFERROR(INDEX('Crosswalk '!$C$9:$C$94,MATCH(1,(B111='Crosswalk '!$B$9:$B$94)*(E111='Crosswalk '!$G$9:$G$94),0)),"")</f>
        <v/>
      </c>
      <c r="E111" s="291" t="str">
        <f t="array" ref="E111">IFERROR(INDEX('Crosswalk '!$E$106:$E$125,MATCH(1,($A$93='Crosswalk '!$D$106:$D$125)*($C111='Crosswalk '!$F$106:$F$125),0)),"")</f>
        <v/>
      </c>
      <c r="F111" s="484"/>
      <c r="G111" s="181"/>
      <c r="H111" s="159" t="str">
        <f t="array" ref="H111">IFERROR(INDEX('Crosswalk '!$E$9:$E$103,MATCH(1,($B111='Crosswalk '!$B$9:$B$103)*($E111='Crosswalk '!$G$9:$G$103),0)),"")</f>
        <v/>
      </c>
      <c r="I111" s="125">
        <f t="shared" si="53"/>
        <v>0</v>
      </c>
      <c r="J111" s="126" t="str">
        <f t="shared" si="46"/>
        <v/>
      </c>
      <c r="K111" s="200">
        <f t="shared" si="47"/>
        <v>0</v>
      </c>
      <c r="L111" s="294">
        <f t="shared" si="50"/>
        <v>0</v>
      </c>
      <c r="M111" s="294">
        <f t="shared" si="48"/>
        <v>0</v>
      </c>
      <c r="N111" s="186">
        <f t="shared" si="49"/>
        <v>0</v>
      </c>
      <c r="O111" s="201" t="str">
        <f>IFERROR(ROUND(N111/'Direct Prof Sal &amp; Fringes  '!$L$8,8),"")</f>
        <v/>
      </c>
      <c r="P111" s="186" t="str">
        <f>IF(ISBLANK(O111),"",IFERROR(ROUND(O111*' Indirect Non-prof Sal &amp; Fringe'!$M$42,0),""))</f>
        <v/>
      </c>
      <c r="Q111" s="186" t="str">
        <f>IF(ISBLANK(O111),"",IFERROR(ROUND(O111*'Direct and Indirect Expenses'!$K$20,0),""))</f>
        <v/>
      </c>
      <c r="R111" s="309">
        <f>IFERROR(SUMIF('Direct and Indirect Expenses'!$B$14:$B$34,'Financial Summary &amp; Stats'!B111,'Direct and Indirect Expenses'!$H$14:$H$34)*N111/SUMIF('Financial Summary &amp; Stats'!$B:$B,'Financial Summary &amp; Stats'!B111,'Financial Summary &amp; Stats'!$N:$N),0)</f>
        <v>0</v>
      </c>
      <c r="S111" s="595"/>
      <c r="T111" s="202">
        <f>IFERROR(IF('Direct and Indirect Expenses'!$A$9="Other Indirect Allocation Method",(ROUND((N111+P111)/($N$8+$P$8)*'Direct and Indirect Expenses'!$C$9,0)),ROUND((N111+P111)*'Direct and Indirect Expenses'!$B$9,0)),0)</f>
        <v>0</v>
      </c>
      <c r="U111" s="202">
        <f t="shared" si="51"/>
        <v>0</v>
      </c>
      <c r="V111" s="293" t="str">
        <f t="shared" si="52"/>
        <v/>
      </c>
      <c r="Y111" s="128"/>
    </row>
    <row r="112" spans="1:25" ht="20.100000000000001" customHeight="1" x14ac:dyDescent="0.2">
      <c r="A112" s="116" t="s">
        <v>130</v>
      </c>
      <c r="B112" s="122">
        <v>90849</v>
      </c>
      <c r="C112" s="122"/>
      <c r="D112" s="123" t="str">
        <f t="array" ref="D112">IFERROR(INDEX('Crosswalk '!$C$9:$C$94,MATCH(1,(B112='Crosswalk '!$B$9:$B$94)*(E112='Crosswalk '!$G$9:$G$94),0)),"")</f>
        <v/>
      </c>
      <c r="E112" s="291" t="str">
        <f t="array" ref="E112">IFERROR(INDEX('Crosswalk '!$E$106:$E$125,MATCH(1,($A$93='Crosswalk '!$D$106:$D$125)*($C112='Crosswalk '!$F$106:$F$125),0)),"")</f>
        <v/>
      </c>
      <c r="F112" s="484"/>
      <c r="G112" s="181"/>
      <c r="H112" s="159" t="str">
        <f t="array" ref="H112">IFERROR(INDEX('Crosswalk '!$E$9:$E$103,MATCH(1,($B112='Crosswalk '!$B$9:$B$103)*($E112='Crosswalk '!$G$9:$G$103),0)),"")</f>
        <v/>
      </c>
      <c r="I112" s="125">
        <f t="shared" si="53"/>
        <v>0</v>
      </c>
      <c r="J112" s="126" t="str">
        <f t="shared" si="46"/>
        <v/>
      </c>
      <c r="K112" s="200">
        <f t="shared" si="47"/>
        <v>0</v>
      </c>
      <c r="L112" s="294">
        <f t="shared" si="50"/>
        <v>0</v>
      </c>
      <c r="M112" s="294">
        <f t="shared" si="48"/>
        <v>0</v>
      </c>
      <c r="N112" s="186">
        <f t="shared" si="49"/>
        <v>0</v>
      </c>
      <c r="O112" s="201" t="str">
        <f>IFERROR(ROUND(N112/'Direct Prof Sal &amp; Fringes  '!$L$8,8),"")</f>
        <v/>
      </c>
      <c r="P112" s="186" t="str">
        <f>IF(ISBLANK(O112),"",IFERROR(ROUND(O112*' Indirect Non-prof Sal &amp; Fringe'!$M$42,0),""))</f>
        <v/>
      </c>
      <c r="Q112" s="186" t="str">
        <f>IF(ISBLANK(O112),"",IFERROR(ROUND(O112*'Direct and Indirect Expenses'!$K$20,0),""))</f>
        <v/>
      </c>
      <c r="R112" s="309">
        <f>IFERROR(SUMIF('Direct and Indirect Expenses'!$B$14:$B$34,'Financial Summary &amp; Stats'!B112,'Direct and Indirect Expenses'!$H$14:$H$34)*N112/SUMIF('Financial Summary &amp; Stats'!$B:$B,'Financial Summary &amp; Stats'!B112,'Financial Summary &amp; Stats'!$N:$N),0)</f>
        <v>0</v>
      </c>
      <c r="S112" s="595"/>
      <c r="T112" s="202">
        <f>IFERROR(IF('Direct and Indirect Expenses'!$A$9="Other Indirect Allocation Method",(ROUND((N112+P112)/($N$8+$P$8)*'Direct and Indirect Expenses'!$C$9,0)),ROUND((N112+P112)*'Direct and Indirect Expenses'!$B$9,0)),0)</f>
        <v>0</v>
      </c>
      <c r="U112" s="202">
        <f t="shared" si="51"/>
        <v>0</v>
      </c>
      <c r="V112" s="293" t="str">
        <f t="shared" si="52"/>
        <v/>
      </c>
      <c r="Y112" s="128"/>
    </row>
    <row r="113" spans="1:25" ht="20.100000000000001" customHeight="1" x14ac:dyDescent="0.2">
      <c r="A113" s="116" t="s">
        <v>83</v>
      </c>
      <c r="B113" s="122" t="s">
        <v>84</v>
      </c>
      <c r="C113" s="122"/>
      <c r="D113" s="123">
        <f t="array" ref="D113">IFERROR(INDEX('Crosswalk '!$C$9:$C$94,MATCH(1,(B113='Crosswalk '!$B$9:$B$94)*(E113='Crosswalk '!$G$9:$G$94),0)),"")</f>
        <v>0</v>
      </c>
      <c r="E113" s="291" t="str">
        <f t="array" ref="E113">IFERROR(INDEX('Crosswalk '!$E$106:$E$125,MATCH(1,($A$93='Crosswalk '!$D$106:$D$125)*($C113='Crosswalk '!$F$106:$F$125),0)),"")</f>
        <v/>
      </c>
      <c r="F113" s="484"/>
      <c r="G113" s="181"/>
      <c r="H113" s="159">
        <f t="array" ref="H113">IFERROR(INDEX('Crosswalk '!$E$9:$E$103,MATCH(1,($B113='Crosswalk '!$B$9:$B$103)*($E113='Crosswalk '!$G$9:$G$103),0)),"")</f>
        <v>0.25</v>
      </c>
      <c r="I113" s="125">
        <f t="shared" si="53"/>
        <v>0</v>
      </c>
      <c r="J113" s="126">
        <f t="shared" si="46"/>
        <v>0</v>
      </c>
      <c r="K113" s="200">
        <f t="shared" si="47"/>
        <v>0</v>
      </c>
      <c r="L113" s="294">
        <f t="shared" si="50"/>
        <v>0</v>
      </c>
      <c r="M113" s="294">
        <f t="shared" si="48"/>
        <v>0</v>
      </c>
      <c r="N113" s="186">
        <f t="shared" si="49"/>
        <v>0</v>
      </c>
      <c r="O113" s="201" t="str">
        <f>IFERROR(ROUND(N113/'Direct Prof Sal &amp; Fringes  '!$L$8,8),"")</f>
        <v/>
      </c>
      <c r="P113" s="186" t="str">
        <f>IF(ISBLANK(O113),"",IFERROR(ROUND(O113*' Indirect Non-prof Sal &amp; Fringe'!$M$42,0),""))</f>
        <v/>
      </c>
      <c r="Q113" s="186" t="str">
        <f>IF(ISBLANK(O113),"",IFERROR(ROUND(O113*'Direct and Indirect Expenses'!$K$20,0),""))</f>
        <v/>
      </c>
      <c r="R113" s="309">
        <f>IFERROR(SUMIF('Direct and Indirect Expenses'!$B$14:$B$34,'Financial Summary &amp; Stats'!B113,'Direct and Indirect Expenses'!$H$14:$H$34)*N113/SUMIF('Financial Summary &amp; Stats'!$B:$B,'Financial Summary &amp; Stats'!B113,'Financial Summary &amp; Stats'!$N:$N),0)</f>
        <v>0</v>
      </c>
      <c r="S113" s="595"/>
      <c r="T113" s="202">
        <f>IFERROR(IF('Direct and Indirect Expenses'!$A$9="Other Indirect Allocation Method",(ROUND((N113+P113)/($N$8+$P$8)*'Direct and Indirect Expenses'!$C$9,0)),ROUND((N113+P113)*'Direct and Indirect Expenses'!$B$9,0)),0)</f>
        <v>0</v>
      </c>
      <c r="U113" s="202">
        <f t="shared" si="51"/>
        <v>0</v>
      </c>
      <c r="V113" s="293" t="str">
        <f t="shared" si="52"/>
        <v/>
      </c>
      <c r="Y113" s="128"/>
    </row>
    <row r="114" spans="1:25" ht="20.100000000000001" customHeight="1" x14ac:dyDescent="0.2">
      <c r="A114" s="116" t="s">
        <v>132</v>
      </c>
      <c r="B114" s="122">
        <v>90792</v>
      </c>
      <c r="C114" s="122"/>
      <c r="D114" s="123" t="str">
        <f t="array" ref="D114">IFERROR(INDEX('Crosswalk '!$C$9:$C$94,MATCH(1,(B114='Crosswalk '!$B$9:$B$94)*(E114='Crosswalk '!$G$9:$G$94),0)),"")</f>
        <v/>
      </c>
      <c r="E114" s="291" t="str">
        <f t="array" ref="E114">IFERROR(INDEX('Crosswalk '!$E$106:$E$125,MATCH(1,($A$93='Crosswalk '!$D$106:$D$125)*($C114='Crosswalk '!$F$106:$F$125),0)),"")</f>
        <v/>
      </c>
      <c r="F114" s="484"/>
      <c r="G114" s="181"/>
      <c r="H114" s="159" t="str">
        <f t="array" ref="H114">IFERROR(INDEX('Crosswalk '!$E$9:$E$103,MATCH(1,($B114='Crosswalk '!$B$9:$B$103)*($E114='Crosswalk '!$G$9:$G$103),0)),"")</f>
        <v/>
      </c>
      <c r="I114" s="125">
        <f t="shared" si="53"/>
        <v>0</v>
      </c>
      <c r="J114" s="126" t="str">
        <f t="shared" si="46"/>
        <v/>
      </c>
      <c r="K114" s="200">
        <f t="shared" si="47"/>
        <v>0</v>
      </c>
      <c r="L114" s="294">
        <f t="shared" si="50"/>
        <v>0</v>
      </c>
      <c r="M114" s="294">
        <f t="shared" si="48"/>
        <v>0</v>
      </c>
      <c r="N114" s="186">
        <f t="shared" si="49"/>
        <v>0</v>
      </c>
      <c r="O114" s="201" t="str">
        <f>IFERROR(ROUND(N114/'Direct Prof Sal &amp; Fringes  '!$L$8,8),"")</f>
        <v/>
      </c>
      <c r="P114" s="186" t="str">
        <f>IF(ISBLANK(O114),"",IFERROR(ROUND(O114*' Indirect Non-prof Sal &amp; Fringe'!$M$42,0),""))</f>
        <v/>
      </c>
      <c r="Q114" s="186" t="str">
        <f>IF(ISBLANK(O114),"",IFERROR(ROUND(O114*'Direct and Indirect Expenses'!$K$20,0),""))</f>
        <v/>
      </c>
      <c r="R114" s="309">
        <f>IFERROR(SUMIF('Direct and Indirect Expenses'!$B$14:$B$34,'Financial Summary &amp; Stats'!B114,'Direct and Indirect Expenses'!$H$14:$H$34)*N114/SUMIF('Financial Summary &amp; Stats'!$B:$B,'Financial Summary &amp; Stats'!B114,'Financial Summary &amp; Stats'!$N:$N),0)</f>
        <v>0</v>
      </c>
      <c r="S114" s="595"/>
      <c r="T114" s="202">
        <f>IFERROR(IF('Direct and Indirect Expenses'!$A$9="Other Indirect Allocation Method",(ROUND((N114+P114)/($N$8+$P$8)*'Direct and Indirect Expenses'!$C$9,0)),ROUND((N114+P114)*'Direct and Indirect Expenses'!$B$9,0)),0)</f>
        <v>0</v>
      </c>
      <c r="U114" s="202">
        <f t="shared" si="51"/>
        <v>0</v>
      </c>
      <c r="V114" s="293" t="str">
        <f t="shared" si="52"/>
        <v/>
      </c>
      <c r="Y114" s="128"/>
    </row>
    <row r="115" spans="1:25" ht="20.100000000000001" customHeight="1" x14ac:dyDescent="0.2">
      <c r="A115" s="116" t="s">
        <v>131</v>
      </c>
      <c r="B115" s="122">
        <v>90791</v>
      </c>
      <c r="C115" s="122"/>
      <c r="D115" s="123" t="str">
        <f t="array" ref="D115">IFERROR(INDEX('Crosswalk '!$C$9:$C$94,MATCH(1,(B115='Crosswalk '!$B$9:$B$94)*(E115='Crosswalk '!$G$9:$G$94),0)),"")</f>
        <v/>
      </c>
      <c r="E115" s="291" t="str">
        <f t="array" ref="E115">IFERROR(INDEX('Crosswalk '!$E$106:$E$125,MATCH(1,($A$93='Crosswalk '!$D$106:$D$125)*($C115='Crosswalk '!$F$106:$F$125),0)),"")</f>
        <v/>
      </c>
      <c r="F115" s="484"/>
      <c r="G115" s="181"/>
      <c r="H115" s="159" t="str">
        <f t="array" ref="H115">IFERROR(INDEX('Crosswalk '!$E$9:$E$103,MATCH(1,($B115='Crosswalk '!$B$9:$B$103)*($E115='Crosswalk '!$G$9:$G$103),0)),"")</f>
        <v/>
      </c>
      <c r="I115" s="125">
        <f t="shared" si="53"/>
        <v>0</v>
      </c>
      <c r="J115" s="126" t="str">
        <f t="shared" si="46"/>
        <v/>
      </c>
      <c r="K115" s="200">
        <f t="shared" si="47"/>
        <v>0</v>
      </c>
      <c r="L115" s="294">
        <f t="shared" si="50"/>
        <v>0</v>
      </c>
      <c r="M115" s="294">
        <f t="shared" si="48"/>
        <v>0</v>
      </c>
      <c r="N115" s="186">
        <f t="shared" si="49"/>
        <v>0</v>
      </c>
      <c r="O115" s="201" t="str">
        <f>IFERROR(ROUND(N115/'Direct Prof Sal &amp; Fringes  '!$L$8,8),"")</f>
        <v/>
      </c>
      <c r="P115" s="186" t="str">
        <f>IF(ISBLANK(O115),"",IFERROR(ROUND(O115*' Indirect Non-prof Sal &amp; Fringe'!$M$42,0),""))</f>
        <v/>
      </c>
      <c r="Q115" s="186" t="str">
        <f>IF(ISBLANK(O115),"",IFERROR(ROUND(O115*'Direct and Indirect Expenses'!$K$20,0),""))</f>
        <v/>
      </c>
      <c r="R115" s="309">
        <f>IFERROR(SUMIF('Direct and Indirect Expenses'!$B$14:$B$34,'Financial Summary &amp; Stats'!B115,'Direct and Indirect Expenses'!$H$14:$H$34)*N115/SUMIF('Financial Summary &amp; Stats'!$B:$B,'Financial Summary &amp; Stats'!B115,'Financial Summary &amp; Stats'!$N:$N),0)</f>
        <v>0</v>
      </c>
      <c r="S115" s="595"/>
      <c r="T115" s="202">
        <f>IFERROR(IF('Direct and Indirect Expenses'!$A$9="Other Indirect Allocation Method",(ROUND((N115+P115)/($N$8+$P$8)*'Direct and Indirect Expenses'!$C$9,0)),ROUND((N115+P115)*'Direct and Indirect Expenses'!$B$9,0)),0)</f>
        <v>0</v>
      </c>
      <c r="U115" s="202">
        <f t="shared" si="51"/>
        <v>0</v>
      </c>
      <c r="V115" s="293" t="str">
        <f t="shared" si="52"/>
        <v/>
      </c>
      <c r="Y115" s="128"/>
    </row>
    <row r="116" spans="1:25" ht="20.100000000000001" customHeight="1" x14ac:dyDescent="0.2">
      <c r="A116" s="116" t="s">
        <v>116</v>
      </c>
      <c r="B116" s="122" t="s">
        <v>85</v>
      </c>
      <c r="C116" s="122" t="s">
        <v>195</v>
      </c>
      <c r="D116" s="123" t="str">
        <f t="array" ref="D116">IFERROR(INDEX('Crosswalk '!$C$9:$C$94,MATCH(1,(B116='Crosswalk '!$B$9:$B$94)*(E116='Crosswalk '!$G$9:$G$94),0)),"")</f>
        <v/>
      </c>
      <c r="E116" s="291" t="str">
        <f t="array" ref="E116">IFERROR(INDEX('Crosswalk '!$E$106:$E$125,MATCH(1,($A$93='Crosswalk '!$D$106:$D$125)*($C116='Crosswalk '!$F$106:$F$125),0)),"")</f>
        <v/>
      </c>
      <c r="F116" s="484"/>
      <c r="G116" s="181"/>
      <c r="H116" s="159" t="str">
        <f t="array" ref="H116">IFERROR(INDEX('Crosswalk '!$E$9:$E$103,MATCH(1,($B116='Crosswalk '!$B$9:$B$103)*($E116='Crosswalk '!$G$9:$G$103),0)),"")</f>
        <v/>
      </c>
      <c r="I116" s="125">
        <f t="shared" si="53"/>
        <v>0</v>
      </c>
      <c r="J116" s="126" t="str">
        <f t="shared" si="46"/>
        <v/>
      </c>
      <c r="K116" s="200">
        <f t="shared" si="47"/>
        <v>0</v>
      </c>
      <c r="L116" s="294">
        <f t="shared" si="50"/>
        <v>0</v>
      </c>
      <c r="M116" s="294">
        <f t="shared" si="48"/>
        <v>0</v>
      </c>
      <c r="N116" s="186">
        <f t="shared" si="49"/>
        <v>0</v>
      </c>
      <c r="O116" s="201" t="str">
        <f>IFERROR(ROUND(N116/'Direct Prof Sal &amp; Fringes  '!$L$8,8),"")</f>
        <v/>
      </c>
      <c r="P116" s="186" t="str">
        <f>IF(ISBLANK(O116),"",IFERROR(ROUND(O116*' Indirect Non-prof Sal &amp; Fringe'!$M$42,0),""))</f>
        <v/>
      </c>
      <c r="Q116" s="186" t="str">
        <f>IF(ISBLANK(O116),"",IFERROR(ROUND(O116*'Direct and Indirect Expenses'!$K$20,0),""))</f>
        <v/>
      </c>
      <c r="R116" s="309">
        <f>IFERROR(SUMIF('Direct and Indirect Expenses'!$B$14:$B$34,'Financial Summary &amp; Stats'!B116,'Direct and Indirect Expenses'!$H$14:$H$34)*N116/SUMIF('Financial Summary &amp; Stats'!$B:$B,'Financial Summary &amp; Stats'!B116,'Financial Summary &amp; Stats'!$N:$N),0)</f>
        <v>0</v>
      </c>
      <c r="S116" s="595"/>
      <c r="T116" s="202">
        <f>IFERROR(IF('Direct and Indirect Expenses'!$A$9="Other Indirect Allocation Method",(ROUND((N116+P116)/($N$8+$P$8)*'Direct and Indirect Expenses'!$C$9,0)),ROUND((N116+P116)*'Direct and Indirect Expenses'!$B$9,0)),0)</f>
        <v>0</v>
      </c>
      <c r="U116" s="202">
        <f t="shared" si="51"/>
        <v>0</v>
      </c>
      <c r="V116" s="293" t="str">
        <f t="shared" si="52"/>
        <v/>
      </c>
      <c r="Y116" s="128"/>
    </row>
    <row r="117" spans="1:25" ht="20.100000000000001" customHeight="1" x14ac:dyDescent="0.2">
      <c r="A117" s="116" t="s">
        <v>116</v>
      </c>
      <c r="B117" s="122" t="s">
        <v>85</v>
      </c>
      <c r="C117" s="122" t="s">
        <v>196</v>
      </c>
      <c r="D117" s="123" t="str">
        <f t="array" ref="D117">IFERROR(INDEX('Crosswalk '!$C$9:$C$94,MATCH(1,(B117='Crosswalk '!$B$9:$B$94)*(E117='Crosswalk '!$G$9:$G$94),0)),"")</f>
        <v/>
      </c>
      <c r="E117" s="291" t="str">
        <f t="array" ref="E117">IFERROR(INDEX('Crosswalk '!$E$106:$E$125,MATCH(1,($A$93='Crosswalk '!$D$106:$D$125)*($C117='Crosswalk '!$F$106:$F$125),0)),"")</f>
        <v/>
      </c>
      <c r="F117" s="484"/>
      <c r="G117" s="486"/>
      <c r="H117" s="159" t="str">
        <f t="array" ref="H117">IFERROR(INDEX('Crosswalk '!$E$9:$E$103,MATCH(1,($B117='Crosswalk '!$B$9:$B$103)*($E117='Crosswalk '!$G$9:$G$103),0)),"")</f>
        <v/>
      </c>
      <c r="I117" s="166"/>
      <c r="J117" s="126" t="str">
        <f t="shared" si="46"/>
        <v/>
      </c>
      <c r="K117" s="200">
        <f t="shared" si="47"/>
        <v>0</v>
      </c>
      <c r="L117" s="294">
        <f t="shared" si="50"/>
        <v>0</v>
      </c>
      <c r="M117" s="294">
        <f t="shared" si="48"/>
        <v>0</v>
      </c>
      <c r="N117" s="186">
        <f t="shared" si="49"/>
        <v>0</v>
      </c>
      <c r="O117" s="201" t="str">
        <f>IFERROR(ROUND(N117/'Direct Prof Sal &amp; Fringes  '!$L$8,8),"")</f>
        <v/>
      </c>
      <c r="P117" s="186" t="str">
        <f>IF(ISBLANK(O117),"",IFERROR(ROUND(O117*' Indirect Non-prof Sal &amp; Fringe'!$M$42,0),""))</f>
        <v/>
      </c>
      <c r="Q117" s="186" t="str">
        <f>IF(ISBLANK(O117),"",IFERROR(ROUND(O117*'Direct and Indirect Expenses'!$K$20,0),""))</f>
        <v/>
      </c>
      <c r="R117" s="309">
        <f>IFERROR(SUMIF('Direct and Indirect Expenses'!$B$14:$B$34,'Financial Summary &amp; Stats'!B117,'Direct and Indirect Expenses'!$H$14:$H$34)*N117/SUMIF('Financial Summary &amp; Stats'!$B:$B,'Financial Summary &amp; Stats'!B117,'Financial Summary &amp; Stats'!$N:$N),0)</f>
        <v>0</v>
      </c>
      <c r="S117" s="595"/>
      <c r="T117" s="202">
        <f>IFERROR(IF('Direct and Indirect Expenses'!$A$9="Other Indirect Allocation Method",(ROUND((N117+P117)/($N$8+$P$8)*'Direct and Indirect Expenses'!$C$9,0)),ROUND((N117+P117)*'Direct and Indirect Expenses'!$B$9,0)),0)</f>
        <v>0</v>
      </c>
      <c r="U117" s="202">
        <f t="shared" si="51"/>
        <v>0</v>
      </c>
      <c r="V117" s="293" t="str">
        <f t="shared" si="52"/>
        <v/>
      </c>
      <c r="Y117" s="128"/>
    </row>
    <row r="118" spans="1:25" ht="20.100000000000001" customHeight="1" x14ac:dyDescent="0.2">
      <c r="A118" s="116" t="s">
        <v>116</v>
      </c>
      <c r="B118" s="122" t="s">
        <v>85</v>
      </c>
      <c r="C118" s="122"/>
      <c r="D118" s="123" t="str">
        <f t="array" ref="D118">IFERROR(INDEX('Crosswalk '!$C$9:$C$94,MATCH(1,(B118='Crosswalk '!$B$9:$B$94)*(E118='Crosswalk '!$G$9:$G$94),0)),"")</f>
        <v/>
      </c>
      <c r="E118" s="291" t="str">
        <f t="array" ref="E118">IFERROR(INDEX('Crosswalk '!$E$106:$E$125,MATCH(1,($A$93='Crosswalk '!$D$106:$D$125)*($C118='Crosswalk '!$F$106:$F$125),0)),"")</f>
        <v/>
      </c>
      <c r="F118" s="484"/>
      <c r="G118" s="486"/>
      <c r="H118" s="159" t="str">
        <f t="array" ref="H118">IFERROR(INDEX('Crosswalk '!$E$9:$E$103,MATCH(1,($B118='Crosswalk '!$B$9:$B$103)*($E118='Crosswalk '!$G$9:$G$103),0)),"")</f>
        <v/>
      </c>
      <c r="I118" s="166"/>
      <c r="J118" s="126" t="str">
        <f t="shared" si="46"/>
        <v/>
      </c>
      <c r="K118" s="200">
        <f t="shared" si="47"/>
        <v>0</v>
      </c>
      <c r="L118" s="294">
        <f t="shared" si="50"/>
        <v>0</v>
      </c>
      <c r="M118" s="294">
        <f t="shared" si="48"/>
        <v>0</v>
      </c>
      <c r="N118" s="186">
        <f t="shared" si="49"/>
        <v>0</v>
      </c>
      <c r="O118" s="201" t="str">
        <f>IFERROR(ROUND(N118/'Direct Prof Sal &amp; Fringes  '!$L$8,8),"")</f>
        <v/>
      </c>
      <c r="P118" s="186" t="str">
        <f>IF(ISBLANK(O118),"",IFERROR(ROUND(O118*' Indirect Non-prof Sal &amp; Fringe'!$M$42,0),""))</f>
        <v/>
      </c>
      <c r="Q118" s="186" t="str">
        <f>IF(ISBLANK(O118),"",IFERROR(ROUND(O118*'Direct and Indirect Expenses'!$K$20,0),""))</f>
        <v/>
      </c>
      <c r="R118" s="309">
        <f>IFERROR(SUMIF('Direct and Indirect Expenses'!$B$14:$B$34,'Financial Summary &amp; Stats'!B118,'Direct and Indirect Expenses'!$H$14:$H$34)*N118/SUMIF('Financial Summary &amp; Stats'!$B:$B,'Financial Summary &amp; Stats'!B118,'Financial Summary &amp; Stats'!$N:$N),0)</f>
        <v>0</v>
      </c>
      <c r="S118" s="595"/>
      <c r="T118" s="202">
        <f>IFERROR(IF('Direct and Indirect Expenses'!$A$9="Other Indirect Allocation Method",(ROUND((N118+P118)/($N$8+$P$8)*'Direct and Indirect Expenses'!$C$9,0)),ROUND((N118+P118)*'Direct and Indirect Expenses'!$B$9,0)),0)</f>
        <v>0</v>
      </c>
      <c r="U118" s="202">
        <f t="shared" si="51"/>
        <v>0</v>
      </c>
      <c r="V118" s="293" t="str">
        <f t="shared" si="52"/>
        <v/>
      </c>
      <c r="Y118" s="128"/>
    </row>
    <row r="119" spans="1:25" ht="20.100000000000001" customHeight="1" x14ac:dyDescent="0.2">
      <c r="A119" s="116" t="s">
        <v>110</v>
      </c>
      <c r="B119" s="122" t="s">
        <v>73</v>
      </c>
      <c r="C119" s="122"/>
      <c r="D119" s="123" t="str">
        <f t="array" ref="D119">IFERROR(INDEX('Crosswalk '!$C$9:$C$94,MATCH(1,(B119='Crosswalk '!$B$9:$B$94)*(E119='Crosswalk '!$G$9:$G$94),0)),"")</f>
        <v/>
      </c>
      <c r="E119" s="291" t="str">
        <f t="array" ref="E119">IFERROR(INDEX('Crosswalk '!$E$106:$E$125,MATCH(1,($A$93='Crosswalk '!$D$106:$D$125)*($C119='Crosswalk '!$F$106:$F$125),0)),"")</f>
        <v/>
      </c>
      <c r="F119" s="484"/>
      <c r="G119" s="181"/>
      <c r="H119" s="159" t="str">
        <f t="array" ref="H119">IFERROR(INDEX('Crosswalk '!$E$9:$E$103,MATCH(1,($B119='Crosswalk '!$B$9:$B$103)*($E119='Crosswalk '!$G$9:$G$103),0)),"")</f>
        <v/>
      </c>
      <c r="I119" s="125">
        <f t="shared" ref="I119:I121" si="54">IFERROR(ROUND(F119*H119,2),0)</f>
        <v>0</v>
      </c>
      <c r="J119" s="126" t="str">
        <f t="shared" si="46"/>
        <v/>
      </c>
      <c r="K119" s="200">
        <f t="shared" si="47"/>
        <v>0</v>
      </c>
      <c r="L119" s="294">
        <f t="shared" si="50"/>
        <v>0</v>
      </c>
      <c r="M119" s="294">
        <f t="shared" si="48"/>
        <v>0</v>
      </c>
      <c r="N119" s="186">
        <f t="shared" si="49"/>
        <v>0</v>
      </c>
      <c r="O119" s="201" t="str">
        <f>IFERROR(ROUND(N119/'Direct Prof Sal &amp; Fringes  '!$L$8,8),"")</f>
        <v/>
      </c>
      <c r="P119" s="186" t="str">
        <f>IF(ISBLANK(O119),"",IFERROR(ROUND(O119*' Indirect Non-prof Sal &amp; Fringe'!$M$42,0),""))</f>
        <v/>
      </c>
      <c r="Q119" s="186" t="str">
        <f>IF(ISBLANK(O119),"",IFERROR(ROUND(O119*'Direct and Indirect Expenses'!$K$20,0),""))</f>
        <v/>
      </c>
      <c r="R119" s="309">
        <f>IFERROR(SUMIF('Direct and Indirect Expenses'!$B$14:$B$34,'Financial Summary &amp; Stats'!B119,'Direct and Indirect Expenses'!$H$14:$H$34)*N119/SUMIF('Financial Summary &amp; Stats'!$B:$B,'Financial Summary &amp; Stats'!B119,'Financial Summary &amp; Stats'!$N:$N),0)</f>
        <v>0</v>
      </c>
      <c r="S119" s="595"/>
      <c r="T119" s="202">
        <f>IFERROR(IF('Direct and Indirect Expenses'!$A$9="Other Indirect Allocation Method",(ROUND((N119+P119)/($N$8+$P$8)*'Direct and Indirect Expenses'!$C$9,0)),ROUND((N119+P119)*'Direct and Indirect Expenses'!$B$9,0)),0)</f>
        <v>0</v>
      </c>
      <c r="U119" s="202">
        <f t="shared" si="51"/>
        <v>0</v>
      </c>
      <c r="V119" s="293" t="str">
        <f t="shared" si="52"/>
        <v/>
      </c>
      <c r="Y119" s="128"/>
    </row>
    <row r="120" spans="1:25" ht="20.100000000000001" customHeight="1" x14ac:dyDescent="0.2">
      <c r="A120" s="116" t="s">
        <v>109</v>
      </c>
      <c r="B120" s="122">
        <v>99367</v>
      </c>
      <c r="C120" s="122"/>
      <c r="D120" s="123">
        <f t="array" ref="D120">IFERROR(INDEX('Crosswalk '!$C$9:$C$94,MATCH(1,(B120='Crosswalk '!$B$9:$B$94)*(E120='Crosswalk '!$G$9:$G$94),0)),"")</f>
        <v>0</v>
      </c>
      <c r="E120" s="159" t="s">
        <v>142</v>
      </c>
      <c r="F120" s="484"/>
      <c r="G120" s="181"/>
      <c r="H120" s="159">
        <f t="array" ref="H120">IFERROR(INDEX('Crosswalk '!$E$9:$E$103,MATCH(1,($B120='Crosswalk '!$B$9:$B$103)*($E120='Crosswalk '!$G$9:$G$103),0)),"")</f>
        <v>0.5</v>
      </c>
      <c r="I120" s="125">
        <f t="shared" si="54"/>
        <v>0</v>
      </c>
      <c r="J120" s="126">
        <f t="shared" si="46"/>
        <v>0</v>
      </c>
      <c r="K120" s="200">
        <f t="shared" si="47"/>
        <v>0</v>
      </c>
      <c r="L120" s="294">
        <f t="shared" si="50"/>
        <v>0</v>
      </c>
      <c r="M120" s="294">
        <f t="shared" si="48"/>
        <v>0</v>
      </c>
      <c r="N120" s="186">
        <f t="shared" si="49"/>
        <v>0</v>
      </c>
      <c r="O120" s="201" t="str">
        <f>IFERROR(ROUND(N120/'Direct Prof Sal &amp; Fringes  '!$L$8,8),"")</f>
        <v/>
      </c>
      <c r="P120" s="186" t="str">
        <f>IF(ISBLANK(O120),"",IFERROR(ROUND(O120*' Indirect Non-prof Sal &amp; Fringe'!$M$42,0),""))</f>
        <v/>
      </c>
      <c r="Q120" s="186" t="str">
        <f>IF(ISBLANK(O120),"",IFERROR(ROUND(O120*'Direct and Indirect Expenses'!$K$20,0),""))</f>
        <v/>
      </c>
      <c r="R120" s="309">
        <f>IFERROR(SUMIF('Direct and Indirect Expenses'!$B$14:$B$34,'Financial Summary &amp; Stats'!B120,'Direct and Indirect Expenses'!$H$14:$H$34)*N120/SUMIF('Financial Summary &amp; Stats'!$B:$B,'Financial Summary &amp; Stats'!B120,'Financial Summary &amp; Stats'!$N:$N),0)</f>
        <v>0</v>
      </c>
      <c r="S120" s="595"/>
      <c r="T120" s="202">
        <f>IFERROR(IF('Direct and Indirect Expenses'!$A$9="Other Indirect Allocation Method",(ROUND((N120+P120)/($N$8+$P$8)*'Direct and Indirect Expenses'!$C$9,0)),ROUND((N120+P120)*'Direct and Indirect Expenses'!$B$9,0)),0)</f>
        <v>0</v>
      </c>
      <c r="U120" s="202">
        <f t="shared" si="51"/>
        <v>0</v>
      </c>
      <c r="V120" s="293" t="str">
        <f t="shared" si="52"/>
        <v/>
      </c>
      <c r="Y120" s="128"/>
    </row>
    <row r="121" spans="1:25" ht="20.100000000000001" customHeight="1" x14ac:dyDescent="0.2">
      <c r="A121" s="116" t="s">
        <v>108</v>
      </c>
      <c r="B121" s="122">
        <v>99366</v>
      </c>
      <c r="C121" s="122"/>
      <c r="D121" s="123">
        <f t="array" ref="D121">IFERROR(INDEX('Crosswalk '!$C$9:$C$94,MATCH(1,(B121='Crosswalk '!$B$9:$B$94)*(E121='Crosswalk '!$G$9:$G$94),0)),"")</f>
        <v>0</v>
      </c>
      <c r="E121" s="159" t="s">
        <v>142</v>
      </c>
      <c r="F121" s="484"/>
      <c r="G121" s="181"/>
      <c r="H121" s="159">
        <f t="array" ref="H121">IFERROR(INDEX('Crosswalk '!$E$9:$E$103,MATCH(1,($B121='Crosswalk '!$B$9:$B$103)*($E121='Crosswalk '!$G$9:$G$103),0)),"")</f>
        <v>0.5</v>
      </c>
      <c r="I121" s="125">
        <f t="shared" si="54"/>
        <v>0</v>
      </c>
      <c r="J121" s="126">
        <f t="shared" si="46"/>
        <v>0</v>
      </c>
      <c r="K121" s="200">
        <f t="shared" si="47"/>
        <v>0</v>
      </c>
      <c r="L121" s="294">
        <f t="shared" si="50"/>
        <v>0</v>
      </c>
      <c r="M121" s="294">
        <f t="shared" si="48"/>
        <v>0</v>
      </c>
      <c r="N121" s="186">
        <f t="shared" si="49"/>
        <v>0</v>
      </c>
      <c r="O121" s="201" t="str">
        <f>IFERROR(ROUND(N121/'Direct Prof Sal &amp; Fringes  '!$L$8,8),"")</f>
        <v/>
      </c>
      <c r="P121" s="186" t="str">
        <f>IF(ISBLANK(O121),"",IFERROR(ROUND(O121*' Indirect Non-prof Sal &amp; Fringe'!$M$42,0),""))</f>
        <v/>
      </c>
      <c r="Q121" s="186" t="str">
        <f>IF(ISBLANK(O121),"",IFERROR(ROUND(O121*'Direct and Indirect Expenses'!$K$20,0),""))</f>
        <v/>
      </c>
      <c r="R121" s="309">
        <f>IFERROR(SUMIF('Direct and Indirect Expenses'!$B$14:$B$34,'Financial Summary &amp; Stats'!B121,'Direct and Indirect Expenses'!$H$14:$H$34)*N121/SUMIF('Financial Summary &amp; Stats'!$B:$B,'Financial Summary &amp; Stats'!B121,'Financial Summary &amp; Stats'!$N:$N),0)</f>
        <v>0</v>
      </c>
      <c r="S121" s="595"/>
      <c r="T121" s="202">
        <f>IFERROR(IF('Direct and Indirect Expenses'!$A$9="Other Indirect Allocation Method",(ROUND((N121+P121)/($N$8+$P$8)*'Direct and Indirect Expenses'!$C$9,0)),ROUND((N121+P121)*'Direct and Indirect Expenses'!$B$9,0)),0)</f>
        <v>0</v>
      </c>
      <c r="U121" s="202">
        <f t="shared" si="51"/>
        <v>0</v>
      </c>
      <c r="V121" s="293" t="str">
        <f t="shared" si="52"/>
        <v/>
      </c>
      <c r="Y121" s="128"/>
    </row>
    <row r="122" spans="1:25" ht="20.100000000000001" customHeight="1" x14ac:dyDescent="0.2">
      <c r="A122" s="171"/>
      <c r="B122" s="172"/>
      <c r="C122" s="172"/>
      <c r="D122" s="173"/>
      <c r="E122" s="173"/>
      <c r="F122" s="174"/>
      <c r="G122" s="179"/>
      <c r="H122" s="175"/>
      <c r="I122" s="176"/>
      <c r="J122" s="176"/>
      <c r="K122" s="178"/>
      <c r="L122" s="296"/>
      <c r="M122" s="296"/>
      <c r="N122" s="302"/>
      <c r="O122" s="177"/>
      <c r="P122" s="177"/>
      <c r="Q122" s="177"/>
      <c r="R122" s="302"/>
      <c r="S122" s="302"/>
      <c r="T122" s="193"/>
      <c r="U122" s="193"/>
      <c r="V122" s="191"/>
      <c r="Y122" s="128"/>
    </row>
    <row r="123" spans="1:25" ht="20.100000000000001" customHeight="1" x14ac:dyDescent="0.2">
      <c r="A123" s="171"/>
      <c r="B123" s="172"/>
      <c r="C123" s="172"/>
      <c r="D123" s="173"/>
      <c r="E123" s="173"/>
      <c r="F123" s="174"/>
      <c r="G123" s="179"/>
      <c r="H123" s="175"/>
      <c r="I123" s="176"/>
      <c r="J123" s="176"/>
      <c r="K123" s="178"/>
      <c r="L123" s="296"/>
      <c r="M123" s="296"/>
      <c r="N123" s="302"/>
      <c r="O123" s="177"/>
      <c r="P123" s="177"/>
      <c r="Q123" s="177"/>
      <c r="R123" s="302"/>
      <c r="S123" s="302"/>
      <c r="T123" s="193"/>
      <c r="U123" s="193"/>
      <c r="V123" s="191"/>
      <c r="Y123" s="128"/>
    </row>
    <row r="124" spans="1:25" ht="20.100000000000001" customHeight="1" x14ac:dyDescent="0.25">
      <c r="A124" s="289" t="s">
        <v>101</v>
      </c>
      <c r="B124" s="122"/>
      <c r="C124" s="122"/>
      <c r="D124" s="123"/>
      <c r="E124" s="123"/>
      <c r="F124" s="130"/>
      <c r="G124" s="180"/>
      <c r="H124" s="159"/>
      <c r="I124" s="125"/>
      <c r="J124" s="126"/>
      <c r="K124" s="127"/>
      <c r="L124" s="295"/>
      <c r="M124" s="295"/>
      <c r="N124" s="186"/>
      <c r="O124" s="121"/>
      <c r="P124" s="121"/>
      <c r="Q124" s="186"/>
      <c r="R124" s="186"/>
      <c r="S124" s="186"/>
      <c r="T124" s="186"/>
      <c r="U124" s="186"/>
      <c r="V124" s="293"/>
      <c r="Y124" s="128"/>
    </row>
    <row r="125" spans="1:25" ht="20.100000000000001" customHeight="1" x14ac:dyDescent="0.2">
      <c r="A125" s="129" t="s">
        <v>117</v>
      </c>
      <c r="B125" s="131">
        <v>96101</v>
      </c>
      <c r="C125" s="131"/>
      <c r="D125" s="123" t="str">
        <f t="array" ref="D125">IFERROR(INDEX('Crosswalk '!$C$9:$C$94,MATCH(1,(B125='Crosswalk '!$B$9:$B$94)*(E125='Crosswalk '!$G$9:$G$94),0)),"")</f>
        <v/>
      </c>
      <c r="E125" s="291" t="str">
        <f t="array" ref="E125">IFERROR(INDEX('Crosswalk '!$E$106:$E$125,MATCH(1,($A$93='Crosswalk '!$D$106:$D$125)*($C125='Crosswalk '!$F$106:$F$125),0)),"")</f>
        <v/>
      </c>
      <c r="F125" s="484"/>
      <c r="G125" s="181"/>
      <c r="H125" s="159" t="str">
        <f t="array" ref="H125">IFERROR(INDEX('Crosswalk '!$E$9:$E$103,MATCH(1,($B125='Crosswalk '!$B$9:$B$103)*($E125='Crosswalk '!$G$9:$G$103),0)),"")</f>
        <v/>
      </c>
      <c r="I125" s="125">
        <f t="shared" ref="I125:I127" si="55">IFERROR(ROUND(F125*H125,2),0)</f>
        <v>0</v>
      </c>
      <c r="J125" s="126" t="str">
        <f t="shared" ref="J125:J127" si="56">IF(ISTEXT(H125),"",IFERROR(ROUND(I125+G125,2),""))</f>
        <v/>
      </c>
      <c r="K125" s="200">
        <f t="shared" ref="K125:K127" si="57">IF(ISERROR(J125/$J$132),0,ROUND(J125/$J$132,8))</f>
        <v>0</v>
      </c>
      <c r="L125" s="294">
        <f>ROUND(K125*$B$95,0)</f>
        <v>0</v>
      </c>
      <c r="M125" s="294">
        <f t="shared" ref="M125:M127" si="58">IFERROR(ROUND(L125/$L$132*$M$132,0),0)</f>
        <v>0</v>
      </c>
      <c r="N125" s="186">
        <f t="shared" ref="N125:N127" si="59">ROUND(L125+M125,0)</f>
        <v>0</v>
      </c>
      <c r="O125" s="201" t="str">
        <f>IFERROR(ROUND(N125/'Direct Prof Sal &amp; Fringes  '!$L$8,8),"")</f>
        <v/>
      </c>
      <c r="P125" s="186" t="str">
        <f>IF(ISBLANK(O125),"",IFERROR(ROUND(O125*' Indirect Non-prof Sal &amp; Fringe'!$M$42,0),""))</f>
        <v/>
      </c>
      <c r="Q125" s="186" t="str">
        <f>IF(ISBLANK(O125),"",IFERROR(ROUND(O125*'Direct and Indirect Expenses'!$K$20,0),""))</f>
        <v/>
      </c>
      <c r="R125" s="309">
        <f>IFERROR(SUMIF('Direct and Indirect Expenses'!$B$14:$B$34,'Financial Summary &amp; Stats'!B125,'Direct and Indirect Expenses'!$H$14:$H$34)*N125/SUMIF('Financial Summary &amp; Stats'!$B:$B,'Financial Summary &amp; Stats'!B125,'Financial Summary &amp; Stats'!$N:$N),0)</f>
        <v>0</v>
      </c>
      <c r="S125" s="595"/>
      <c r="T125" s="202">
        <f>IFERROR(IF('Direct and Indirect Expenses'!$A$9="Other Indirect Allocation Method",(ROUND((N125+P125)/($N$8+$P$8)*'Direct and Indirect Expenses'!$C$9,0)),ROUND((N125+P125)*'Direct and Indirect Expenses'!$B$9,0)),0)</f>
        <v>0</v>
      </c>
      <c r="U125" s="202">
        <f t="shared" ref="U125:U127" si="60">IFERROR(ROUND((T125+R125+Q125+P125+N125+S125),0),0)</f>
        <v>0</v>
      </c>
      <c r="V125" s="293" t="str">
        <f t="shared" ref="V125:V127" si="61">IFERROR(ROUND(U125/F125,2),"")</f>
        <v/>
      </c>
      <c r="Y125" s="128"/>
    </row>
    <row r="126" spans="1:25" ht="20.100000000000001" customHeight="1" x14ac:dyDescent="0.2">
      <c r="A126" s="129" t="s">
        <v>122</v>
      </c>
      <c r="B126" s="132" t="s">
        <v>120</v>
      </c>
      <c r="C126" s="132"/>
      <c r="D126" s="123" t="str">
        <f t="array" ref="D126">IFERROR(INDEX('Crosswalk '!$C$9:$C$94,MATCH(1,(B126='Crosswalk '!$B$9:$B$94)*(E126='Crosswalk '!$G$9:$G$94),0)),"")</f>
        <v/>
      </c>
      <c r="E126" s="123"/>
      <c r="F126" s="484"/>
      <c r="G126" s="181"/>
      <c r="H126" s="159">
        <f t="array" ref="H126">IFERROR(INDEX('Crosswalk '!$E$9:$E$103,MATCH(1,($B126='Crosswalk '!$B$9:$B$103)*($E126='Crosswalk '!$G$9:$G$103),0)),"")</f>
        <v>0.25</v>
      </c>
      <c r="I126" s="125">
        <f t="shared" si="55"/>
        <v>0</v>
      </c>
      <c r="J126" s="126">
        <f t="shared" si="56"/>
        <v>0</v>
      </c>
      <c r="K126" s="200">
        <f t="shared" si="57"/>
        <v>0</v>
      </c>
      <c r="L126" s="294">
        <f>ROUND(K126*$B$95,0)</f>
        <v>0</v>
      </c>
      <c r="M126" s="294">
        <f t="shared" si="58"/>
        <v>0</v>
      </c>
      <c r="N126" s="186">
        <f t="shared" si="59"/>
        <v>0</v>
      </c>
      <c r="O126" s="201" t="str">
        <f>IFERROR(ROUND(N126/'Direct Prof Sal &amp; Fringes  '!$L$8,8),"")</f>
        <v/>
      </c>
      <c r="P126" s="186" t="str">
        <f>IF(ISBLANK(O126),"",IFERROR(ROUND(O126*' Indirect Non-prof Sal &amp; Fringe'!$M$42,0),""))</f>
        <v/>
      </c>
      <c r="Q126" s="186" t="str">
        <f>IF(ISBLANK(O126),"",IFERROR(ROUND(O126*'Direct and Indirect Expenses'!$K$20,0),""))</f>
        <v/>
      </c>
      <c r="R126" s="309">
        <f>IFERROR(SUMIF('Direct and Indirect Expenses'!$B$14:$B$34,'Financial Summary &amp; Stats'!B126,'Direct and Indirect Expenses'!$H$14:$H$34)*N126/SUMIF('Financial Summary &amp; Stats'!$B:$B,'Financial Summary &amp; Stats'!B126,'Financial Summary &amp; Stats'!$N:$N),0)</f>
        <v>0</v>
      </c>
      <c r="S126" s="595"/>
      <c r="T126" s="202">
        <f>IFERROR(IF('Direct and Indirect Expenses'!$A$9="Other Indirect Allocation Method",(ROUND((N126+P126)/($N$8+$P$8)*'Direct and Indirect Expenses'!$C$9,0)),ROUND((N126+P126)*'Direct and Indirect Expenses'!$B$9,0)),0)</f>
        <v>0</v>
      </c>
      <c r="U126" s="202">
        <f t="shared" si="60"/>
        <v>0</v>
      </c>
      <c r="V126" s="293" t="str">
        <f t="shared" si="61"/>
        <v/>
      </c>
      <c r="Y126" s="128"/>
    </row>
    <row r="127" spans="1:25" ht="20.100000000000001" customHeight="1" x14ac:dyDescent="0.2">
      <c r="A127" s="129" t="s">
        <v>123</v>
      </c>
      <c r="B127" s="132" t="s">
        <v>121</v>
      </c>
      <c r="C127" s="132"/>
      <c r="D127" s="123" t="str">
        <f t="array" ref="D127">IFERROR(INDEX('Crosswalk '!$C$9:$C$94,MATCH(1,(B127='Crosswalk '!$B$9:$B$94)*(E127='Crosswalk '!$G$9:$G$94),0)),"")</f>
        <v/>
      </c>
      <c r="E127" s="123"/>
      <c r="F127" s="484"/>
      <c r="G127" s="181"/>
      <c r="H127" s="159">
        <f t="array" ref="H127">IFERROR(INDEX('Crosswalk '!$E$9:$E$103,MATCH(1,($B127='Crosswalk '!$B$9:$B$103)*($E127='Crosswalk '!$G$9:$G$103),0)),"")</f>
        <v>0.25</v>
      </c>
      <c r="I127" s="125">
        <f t="shared" si="55"/>
        <v>0</v>
      </c>
      <c r="J127" s="126">
        <f t="shared" si="56"/>
        <v>0</v>
      </c>
      <c r="K127" s="200">
        <f t="shared" si="57"/>
        <v>0</v>
      </c>
      <c r="L127" s="294">
        <f>ROUND(K127*$B$95,0)</f>
        <v>0</v>
      </c>
      <c r="M127" s="294">
        <f t="shared" si="58"/>
        <v>0</v>
      </c>
      <c r="N127" s="186">
        <f t="shared" si="59"/>
        <v>0</v>
      </c>
      <c r="O127" s="201" t="str">
        <f>IFERROR(ROUND(N127/'Direct Prof Sal &amp; Fringes  '!$L$8,8),"")</f>
        <v/>
      </c>
      <c r="P127" s="186" t="str">
        <f>IF(ISBLANK(O127),"",IFERROR(ROUND(O127*' Indirect Non-prof Sal &amp; Fringe'!$M$42,0),""))</f>
        <v/>
      </c>
      <c r="Q127" s="186" t="str">
        <f>IF(ISBLANK(O127),"",IFERROR(ROUND(O127*'Direct and Indirect Expenses'!$K$20,0),""))</f>
        <v/>
      </c>
      <c r="R127" s="309">
        <f>IFERROR(SUMIF('Direct and Indirect Expenses'!$B$14:$B$34,'Financial Summary &amp; Stats'!B127,'Direct and Indirect Expenses'!$H$14:$H$34)*N127/SUMIF('Financial Summary &amp; Stats'!$B:$B,'Financial Summary &amp; Stats'!B127,'Financial Summary &amp; Stats'!$N:$N),0)</f>
        <v>0</v>
      </c>
      <c r="S127" s="595"/>
      <c r="T127" s="202">
        <f>IFERROR(IF('Direct and Indirect Expenses'!$A$9="Other Indirect Allocation Method",(ROUND((N127+P127)/($N$8+$P$8)*'Direct and Indirect Expenses'!$C$9,0)),ROUND((N127+P127)*'Direct and Indirect Expenses'!$B$9,0)),0)</f>
        <v>0</v>
      </c>
      <c r="U127" s="202">
        <f t="shared" si="60"/>
        <v>0</v>
      </c>
      <c r="V127" s="293" t="str">
        <f t="shared" si="61"/>
        <v/>
      </c>
      <c r="Y127" s="128"/>
    </row>
    <row r="128" spans="1:25" ht="20.100000000000001" customHeight="1" x14ac:dyDescent="0.2">
      <c r="A128" s="161"/>
      <c r="B128" s="162"/>
      <c r="C128" s="162"/>
      <c r="D128" s="163"/>
      <c r="E128" s="163"/>
      <c r="F128" s="164"/>
      <c r="G128" s="181"/>
      <c r="H128" s="165"/>
      <c r="I128" s="166"/>
      <c r="J128" s="167"/>
      <c r="K128" s="169"/>
      <c r="L128" s="297"/>
      <c r="M128" s="297"/>
      <c r="N128" s="193"/>
      <c r="O128" s="168"/>
      <c r="P128" s="168"/>
      <c r="Q128" s="168"/>
      <c r="R128" s="193"/>
      <c r="S128" s="193"/>
      <c r="T128" s="193"/>
      <c r="U128" s="193"/>
      <c r="V128" s="191"/>
      <c r="Y128" s="128"/>
    </row>
    <row r="129" spans="1:25" ht="20.100000000000001" customHeight="1" x14ac:dyDescent="0.2">
      <c r="A129" s="161"/>
      <c r="B129" s="170"/>
      <c r="C129" s="170"/>
      <c r="D129" s="163"/>
      <c r="E129" s="163"/>
      <c r="F129" s="164"/>
      <c r="G129" s="181"/>
      <c r="H129" s="165"/>
      <c r="I129" s="166"/>
      <c r="J129" s="167"/>
      <c r="K129" s="169"/>
      <c r="L129" s="297"/>
      <c r="M129" s="297"/>
      <c r="N129" s="303"/>
      <c r="O129" s="168"/>
      <c r="P129" s="168"/>
      <c r="Q129" s="168"/>
      <c r="R129" s="193"/>
      <c r="S129" s="193"/>
      <c r="T129" s="193"/>
      <c r="U129" s="193"/>
      <c r="V129" s="191"/>
      <c r="Y129" s="128"/>
    </row>
    <row r="130" spans="1:25" ht="20.100000000000001" customHeight="1" x14ac:dyDescent="0.2">
      <c r="A130" s="129" t="s">
        <v>31</v>
      </c>
      <c r="B130" s="133"/>
      <c r="C130" s="133"/>
      <c r="D130" s="123"/>
      <c r="E130" s="123"/>
      <c r="F130" s="130"/>
      <c r="G130" s="180"/>
      <c r="H130" s="124"/>
      <c r="I130" s="120"/>
      <c r="J130" s="183">
        <f>B94-ROUND(SUM(J99:J121)+SUM(J125:J127),2)</f>
        <v>0</v>
      </c>
      <c r="K130" s="127">
        <f>IF(ISERROR(J130/$J$132),0,ROUND(J130/$J$132,8))</f>
        <v>0</v>
      </c>
      <c r="L130" s="297"/>
      <c r="M130" s="297"/>
      <c r="N130" s="303"/>
      <c r="O130" s="168"/>
      <c r="P130" s="168"/>
      <c r="Q130" s="168"/>
      <c r="R130" s="193"/>
      <c r="S130" s="193"/>
      <c r="T130" s="193"/>
      <c r="U130" s="193"/>
      <c r="V130" s="191"/>
      <c r="Y130" s="128"/>
    </row>
    <row r="131" spans="1:25" ht="20.100000000000001" customHeight="1" x14ac:dyDescent="0.2">
      <c r="A131" s="129"/>
      <c r="B131" s="133"/>
      <c r="C131" s="133"/>
      <c r="D131" s="123"/>
      <c r="E131" s="123"/>
      <c r="F131" s="130"/>
      <c r="G131" s="180"/>
      <c r="H131" s="124"/>
      <c r="I131" s="125"/>
      <c r="J131" s="126"/>
      <c r="K131" s="127"/>
      <c r="L131" s="297"/>
      <c r="M131" s="297"/>
      <c r="N131" s="303"/>
      <c r="O131" s="168"/>
      <c r="P131" s="168"/>
      <c r="Q131" s="168"/>
      <c r="R131" s="193"/>
      <c r="S131" s="193"/>
      <c r="T131" s="193"/>
      <c r="U131" s="193"/>
      <c r="V131" s="191"/>
      <c r="Y131" s="128"/>
    </row>
    <row r="132" spans="1:25" s="140" customFormat="1" ht="20.100000000000001" customHeight="1" x14ac:dyDescent="0.2">
      <c r="A132" s="129" t="s">
        <v>38</v>
      </c>
      <c r="B132" s="133"/>
      <c r="C132" s="133"/>
      <c r="D132" s="123"/>
      <c r="E132" s="123"/>
      <c r="F132" s="134">
        <f>SUM(F99:F131)</f>
        <v>0</v>
      </c>
      <c r="G132" s="182">
        <f>ROUND(SUM(G99:G131),2)</f>
        <v>0</v>
      </c>
      <c r="H132" s="119"/>
      <c r="I132" s="125">
        <f>ROUND(SUM(I99:I131),2)</f>
        <v>0</v>
      </c>
      <c r="J132" s="126">
        <f>IFERROR(SUM(J99:J130),"")</f>
        <v>0</v>
      </c>
      <c r="K132" s="121">
        <f>ROUND(SUM(K99:K131),4)</f>
        <v>0</v>
      </c>
      <c r="L132" s="298">
        <f>ROUND(SUM(L99:L131),0)</f>
        <v>0</v>
      </c>
      <c r="M132" s="295">
        <f>ROUND(K130*$B$95,0)</f>
        <v>0</v>
      </c>
      <c r="N132" s="194">
        <f>ROUND(SUM(N99:N131),0)</f>
        <v>0</v>
      </c>
      <c r="O132" s="201" t="str">
        <f t="shared" ref="O132" si="62">IFERROR(ROUND(N132/$N$8,4),"")</f>
        <v/>
      </c>
      <c r="P132" s="135">
        <f t="shared" ref="P132:U132" si="63">ROUND(SUM(P99:P131),0)</f>
        <v>0</v>
      </c>
      <c r="Q132" s="135">
        <f t="shared" si="63"/>
        <v>0</v>
      </c>
      <c r="R132" s="194">
        <f t="shared" si="63"/>
        <v>0</v>
      </c>
      <c r="S132" s="194">
        <f t="shared" si="63"/>
        <v>0</v>
      </c>
      <c r="T132" s="194">
        <f t="shared" si="63"/>
        <v>0</v>
      </c>
      <c r="U132" s="194">
        <f t="shared" si="63"/>
        <v>0</v>
      </c>
      <c r="V132" s="190" t="str">
        <f>IFERROR(AVERAGE(V99:V121,V124:V127),"")</f>
        <v/>
      </c>
      <c r="W132" s="144"/>
      <c r="Y132" s="146"/>
    </row>
    <row r="133" spans="1:25" s="140" customFormat="1" ht="20.100000000000001" customHeight="1" thickBot="1" x14ac:dyDescent="0.25">
      <c r="A133" s="139"/>
      <c r="B133" s="147"/>
      <c r="C133" s="147"/>
      <c r="D133" s="312"/>
      <c r="E133" s="312"/>
      <c r="F133" s="313"/>
      <c r="G133" s="314"/>
      <c r="H133" s="315"/>
      <c r="I133" s="316"/>
      <c r="J133" s="317"/>
      <c r="K133" s="318"/>
      <c r="L133" s="319"/>
      <c r="M133" s="319"/>
      <c r="N133" s="320"/>
      <c r="O133" s="118"/>
      <c r="P133" s="118"/>
      <c r="Q133" s="118"/>
      <c r="R133" s="196"/>
      <c r="S133" s="196"/>
      <c r="T133" s="196"/>
      <c r="U133" s="196"/>
      <c r="V133" s="189"/>
      <c r="W133" s="144"/>
      <c r="Y133" s="146"/>
    </row>
    <row r="134" spans="1:25" ht="19.5" customHeight="1" x14ac:dyDescent="0.3">
      <c r="A134" s="669" t="str">
        <f>IF(ISBLANK('Direct Prof Sal &amp; Fringes  '!B120),"",+'Direct Prof Sal &amp; Fringes  '!B120)</f>
        <v/>
      </c>
      <c r="B134" s="671"/>
      <c r="C134" s="671"/>
      <c r="D134" s="671"/>
      <c r="E134" s="671"/>
      <c r="F134" s="671"/>
      <c r="G134" s="671"/>
      <c r="H134" s="671"/>
      <c r="I134" s="671"/>
      <c r="J134" s="671"/>
      <c r="K134" s="671"/>
      <c r="L134" s="671"/>
      <c r="M134" s="671"/>
      <c r="N134" s="671"/>
      <c r="O134" s="671"/>
      <c r="P134" s="671"/>
      <c r="Q134" s="671"/>
      <c r="R134" s="671"/>
      <c r="S134" s="671"/>
      <c r="T134" s="671"/>
      <c r="U134" s="671"/>
      <c r="V134" s="672"/>
    </row>
    <row r="135" spans="1:25" ht="20.100000000000001" customHeight="1" x14ac:dyDescent="0.25">
      <c r="A135" s="429" t="s">
        <v>18</v>
      </c>
      <c r="B135" s="459">
        <f>+'Direct Prof Sal &amp; Fringes  '!I155</f>
        <v>0</v>
      </c>
      <c r="C135" s="459"/>
      <c r="D135" s="431"/>
      <c r="E135" s="432"/>
      <c r="F135" s="432"/>
      <c r="G135" s="431"/>
      <c r="H135" s="433"/>
      <c r="I135" s="434"/>
      <c r="J135" s="432"/>
      <c r="K135" s="433"/>
      <c r="L135" s="435"/>
      <c r="M135" s="436"/>
      <c r="N135" s="436"/>
      <c r="O135" s="457"/>
      <c r="P135" s="457"/>
      <c r="Q135" s="457"/>
      <c r="R135" s="438"/>
      <c r="S135" s="438"/>
      <c r="T135" s="438"/>
      <c r="U135" s="439"/>
      <c r="V135" s="440"/>
    </row>
    <row r="136" spans="1:25" ht="20.100000000000001" customHeight="1" x14ac:dyDescent="0.25">
      <c r="A136" s="429" t="s">
        <v>163</v>
      </c>
      <c r="B136" s="460">
        <f>+'Direct Prof Sal &amp; Fringes  '!L155</f>
        <v>0</v>
      </c>
      <c r="C136" s="460"/>
      <c r="D136" s="431"/>
      <c r="E136" s="432"/>
      <c r="F136" s="432"/>
      <c r="G136" s="431"/>
      <c r="H136" s="433"/>
      <c r="I136" s="434"/>
      <c r="J136" s="432"/>
      <c r="K136" s="433"/>
      <c r="L136" s="435"/>
      <c r="M136" s="436"/>
      <c r="N136" s="436"/>
      <c r="O136" s="457"/>
      <c r="P136" s="457"/>
      <c r="Q136" s="457"/>
      <c r="R136" s="442"/>
      <c r="S136" s="442"/>
      <c r="T136" s="442"/>
      <c r="U136" s="442"/>
      <c r="V136" s="443"/>
    </row>
    <row r="137" spans="1:25" ht="20.100000000000001" customHeight="1" thickBot="1" x14ac:dyDescent="0.3">
      <c r="A137" s="444" t="s">
        <v>222</v>
      </c>
      <c r="B137" s="445">
        <f>IFERROR((ROUND((SUM($J$140:$J$168))/B135,8)),0)</f>
        <v>0</v>
      </c>
      <c r="C137" s="447"/>
      <c r="D137" s="448"/>
      <c r="E137" s="447"/>
      <c r="F137" s="447"/>
      <c r="G137" s="448"/>
      <c r="H137" s="449"/>
      <c r="I137" s="450"/>
      <c r="J137" s="447"/>
      <c r="K137" s="449"/>
      <c r="L137" s="451"/>
      <c r="M137" s="452"/>
      <c r="N137" s="452"/>
      <c r="O137" s="458"/>
      <c r="P137" s="458"/>
      <c r="Q137" s="458"/>
      <c r="R137" s="454"/>
      <c r="S137" s="454"/>
      <c r="T137" s="454"/>
      <c r="U137" s="454"/>
      <c r="V137" s="455"/>
    </row>
    <row r="138" spans="1:25" ht="19.5" customHeight="1" thickBot="1" x14ac:dyDescent="0.3">
      <c r="A138" s="428" t="s">
        <v>49</v>
      </c>
      <c r="B138" s="428" t="s">
        <v>50</v>
      </c>
      <c r="C138" s="428" t="s">
        <v>51</v>
      </c>
      <c r="D138" s="428" t="s">
        <v>52</v>
      </c>
      <c r="E138" s="428" t="s">
        <v>53</v>
      </c>
      <c r="F138" s="428" t="s">
        <v>54</v>
      </c>
      <c r="G138" s="428" t="s">
        <v>55</v>
      </c>
      <c r="H138" s="428" t="s">
        <v>56</v>
      </c>
      <c r="I138" s="428" t="s">
        <v>57</v>
      </c>
      <c r="J138" s="428" t="s">
        <v>58</v>
      </c>
      <c r="K138" s="428" t="s">
        <v>59</v>
      </c>
      <c r="L138" s="428" t="s">
        <v>223</v>
      </c>
      <c r="M138" s="428" t="s">
        <v>224</v>
      </c>
      <c r="N138" s="428" t="s">
        <v>225</v>
      </c>
      <c r="O138" s="428" t="s">
        <v>226</v>
      </c>
      <c r="P138" s="428" t="s">
        <v>227</v>
      </c>
      <c r="Q138" s="428" t="s">
        <v>228</v>
      </c>
      <c r="R138" s="428" t="s">
        <v>229</v>
      </c>
      <c r="S138" s="428" t="s">
        <v>230</v>
      </c>
      <c r="T138" s="428" t="s">
        <v>231</v>
      </c>
      <c r="U138" s="428" t="s">
        <v>232</v>
      </c>
      <c r="V138" s="428" t="s">
        <v>242</v>
      </c>
    </row>
    <row r="139" spans="1:25" ht="89.25" customHeight="1" thickBot="1" x14ac:dyDescent="0.3">
      <c r="A139" s="346" t="s">
        <v>244</v>
      </c>
      <c r="B139" s="347" t="s">
        <v>42</v>
      </c>
      <c r="C139" s="347" t="s">
        <v>198</v>
      </c>
      <c r="D139" s="348" t="s">
        <v>62</v>
      </c>
      <c r="E139" s="348" t="s">
        <v>98</v>
      </c>
      <c r="F139" s="536" t="s">
        <v>260</v>
      </c>
      <c r="G139" s="349" t="s">
        <v>199</v>
      </c>
      <c r="H139" s="350" t="s">
        <v>19</v>
      </c>
      <c r="I139" s="347" t="s">
        <v>256</v>
      </c>
      <c r="J139" s="347" t="s">
        <v>41</v>
      </c>
      <c r="K139" s="351" t="s">
        <v>30</v>
      </c>
      <c r="L139" s="352" t="s">
        <v>173</v>
      </c>
      <c r="M139" s="352" t="s">
        <v>177</v>
      </c>
      <c r="N139" s="352" t="s">
        <v>176</v>
      </c>
      <c r="O139" s="351" t="s">
        <v>172</v>
      </c>
      <c r="P139" s="353" t="s">
        <v>178</v>
      </c>
      <c r="Q139" s="351" t="s">
        <v>204</v>
      </c>
      <c r="R139" s="352" t="s">
        <v>203</v>
      </c>
      <c r="S139" s="352" t="s">
        <v>243</v>
      </c>
      <c r="T139" s="597" t="str">
        <f>IF(ISBLANK(+'Direct and Indirect Expenses'!$A$9),"Indirect Cost Method",+'Direct and Indirect Expenses'!$A$9)</f>
        <v>Indirect Cost Method</v>
      </c>
      <c r="U139" s="354" t="s">
        <v>23</v>
      </c>
      <c r="V139" s="355" t="s">
        <v>44</v>
      </c>
    </row>
    <row r="140" spans="1:25" ht="20.100000000000001" customHeight="1" x14ac:dyDescent="0.2">
      <c r="A140" s="290" t="s">
        <v>75</v>
      </c>
      <c r="B140" s="283" t="s">
        <v>77</v>
      </c>
      <c r="C140" s="283"/>
      <c r="D140" s="198" t="str">
        <f t="array" ref="D140">IFERROR(INDEX('Crosswalk '!$C$9:$C$94,MATCH(1,($B140='Crosswalk '!$B$9:$B$94)*($E140='Crosswalk '!$G$9:$G$94),0)),"")</f>
        <v/>
      </c>
      <c r="E140" s="291" t="str">
        <f t="array" ref="E140">IFERROR(INDEX('Crosswalk '!$E$106:$E$125,MATCH(1,($A$134='Crosswalk '!$D$106:$D$125)*($C140='Crosswalk '!$F$106:$F$125),0)),"")</f>
        <v/>
      </c>
      <c r="F140" s="484"/>
      <c r="G140" s="292"/>
      <c r="H140" s="159" t="str">
        <f t="array" ref="H140">IFERROR(INDEX('Crosswalk '!$E$9:$E$103,MATCH(1,($B140='Crosswalk '!$B$9:$B$103)*($E140='Crosswalk '!$G$9:$G$103),0)),"")</f>
        <v/>
      </c>
      <c r="I140" s="199">
        <f t="shared" ref="I140:I147" si="64">IFERROR(ROUND(F140*H140,2),0)</f>
        <v>0</v>
      </c>
      <c r="J140" s="126" t="str">
        <f t="shared" ref="J140:J162" si="65">IF(ISTEXT(H140),"",IFERROR(ROUND(I140+G140,2),""))</f>
        <v/>
      </c>
      <c r="K140" s="200">
        <f t="shared" ref="K140:K162" si="66">IF(ISERROR(J140/$J$173),0,ROUND(J140/$J$173,8))</f>
        <v>0</v>
      </c>
      <c r="L140" s="294">
        <f>ROUND(K140*$B$136,0)</f>
        <v>0</v>
      </c>
      <c r="M140" s="294">
        <f t="shared" ref="M140:M162" si="67">IFERROR(ROUND(L140/$L$173*$M$173,0),0)</f>
        <v>0</v>
      </c>
      <c r="N140" s="202">
        <f t="shared" ref="N140:N162" si="68">ROUND(L140+M140,0)</f>
        <v>0</v>
      </c>
      <c r="O140" s="201" t="str">
        <f>IFERROR(ROUND(N140/$N$8,8),"")</f>
        <v/>
      </c>
      <c r="P140" s="202" t="str">
        <f>IF(ISBLANK(O140),"",IFERROR(ROUND(O140*' Indirect Non-prof Sal &amp; Fringe'!$M$42,0),""))</f>
        <v/>
      </c>
      <c r="Q140" s="202" t="str">
        <f>IF(ISBLANK(O140),"",IFERROR(ROUND(O140*'Direct and Indirect Expenses'!$K$20,0),""))</f>
        <v/>
      </c>
      <c r="R140" s="308">
        <f>IFERROR(SUMIF('Direct and Indirect Expenses'!$B$14:$B$34,'Financial Summary &amp; Stats'!B140,'Direct and Indirect Expenses'!$H$14:$H$34)*N140/SUMIF('Financial Summary &amp; Stats'!$B:$B,'Financial Summary &amp; Stats'!B140,'Financial Summary &amp; Stats'!$N:$N),0)</f>
        <v>0</v>
      </c>
      <c r="S140" s="595"/>
      <c r="T140" s="202">
        <f>IFERROR(IF('Direct and Indirect Expenses'!$A$9="Other Indirect Allocation Method",(ROUND((N140+P140)/($N$8+$P$8)*'Direct and Indirect Expenses'!$C$9,0)),ROUND((N140+P140)*'Direct and Indirect Expenses'!$B$9,0)),0)</f>
        <v>0</v>
      </c>
      <c r="U140" s="202">
        <f>IFERROR(ROUND((T140+R140+Q140+P140+N140+S140),0),0)</f>
        <v>0</v>
      </c>
      <c r="V140" s="293" t="str">
        <f>IFERROR(ROUND(U140/F140,2),"")</f>
        <v/>
      </c>
    </row>
    <row r="141" spans="1:25" ht="20.100000000000001" customHeight="1" x14ac:dyDescent="0.2">
      <c r="A141" s="116" t="s">
        <v>70</v>
      </c>
      <c r="B141" s="122" t="s">
        <v>107</v>
      </c>
      <c r="C141" s="122"/>
      <c r="D141" s="123" t="str">
        <f t="array" ref="D141">IFERROR(INDEX('Crosswalk '!$C$9:$C$94,MATCH(1,(B141='Crosswalk '!$B$9:$B$94)*(E141='Crosswalk '!$G$9:$G$94),0)),"")</f>
        <v/>
      </c>
      <c r="E141" s="291" t="str">
        <f t="array" ref="E141">IFERROR(INDEX('Crosswalk '!$E$106:$E$125,MATCH(1,($A$134='Crosswalk '!$D$106:$D$125)*($C141='Crosswalk '!$F$106:$F$125),0)),"")</f>
        <v/>
      </c>
      <c r="F141" s="484"/>
      <c r="G141" s="185"/>
      <c r="H141" s="159" t="str">
        <f t="array" ref="H141">IFERROR(INDEX('Crosswalk '!$E$9:$E$103,MATCH(1,($B141='Crosswalk '!$B$9:$B$103)*($E141='Crosswalk '!$G$9:$G$103),0)),"")</f>
        <v/>
      </c>
      <c r="I141" s="125">
        <f t="shared" si="64"/>
        <v>0</v>
      </c>
      <c r="J141" s="126" t="str">
        <f t="shared" si="65"/>
        <v/>
      </c>
      <c r="K141" s="200">
        <f t="shared" si="66"/>
        <v>0</v>
      </c>
      <c r="L141" s="294">
        <f t="shared" ref="L141:L162" si="69">ROUND(K141*$B$136,0)</f>
        <v>0</v>
      </c>
      <c r="M141" s="294">
        <f t="shared" si="67"/>
        <v>0</v>
      </c>
      <c r="N141" s="186">
        <f t="shared" si="68"/>
        <v>0</v>
      </c>
      <c r="O141" s="201" t="str">
        <f t="shared" ref="O141:O161" si="70">IFERROR(ROUND(N141/$N$8,8),"")</f>
        <v/>
      </c>
      <c r="P141" s="186" t="str">
        <f>IF(ISBLANK(O141),"",IFERROR(ROUND(O141*' Indirect Non-prof Sal &amp; Fringe'!$M$42,0),""))</f>
        <v/>
      </c>
      <c r="Q141" s="186" t="str">
        <f>IF(ISBLANK(O141),"",IFERROR(ROUND(O141*'Direct and Indirect Expenses'!$K$20,0),""))</f>
        <v/>
      </c>
      <c r="R141" s="309">
        <f>IFERROR(SUMIF('Direct and Indirect Expenses'!$B$14:$B$34,'Financial Summary &amp; Stats'!B141,'Direct and Indirect Expenses'!$H$14:$H$34)*N141/SUMIF('Financial Summary &amp; Stats'!$B:$B,'Financial Summary &amp; Stats'!B141,'Financial Summary &amp; Stats'!$N:$N),0)</f>
        <v>0</v>
      </c>
      <c r="S141" s="595"/>
      <c r="T141" s="202">
        <f>IFERROR(IF('Direct and Indirect Expenses'!$A$9="Other Indirect Allocation Method",(ROUND((N141+P141)/($N$8+$P$8)*'Direct and Indirect Expenses'!$C$9,0)),ROUND((N141+P141)*'Direct and Indirect Expenses'!$B$9,0)),0)</f>
        <v>0</v>
      </c>
      <c r="U141" s="202">
        <f t="shared" ref="U141:U162" si="71">IFERROR(ROUND((T141+R141+Q141+P141+N141+S141),0),0)</f>
        <v>0</v>
      </c>
      <c r="V141" s="293" t="str">
        <f t="shared" ref="V141:V162" si="72">IFERROR(ROUND(U141/F141,2),"")</f>
        <v/>
      </c>
      <c r="Y141" s="128"/>
    </row>
    <row r="142" spans="1:25" ht="20.100000000000001" customHeight="1" x14ac:dyDescent="0.2">
      <c r="A142" s="116" t="s">
        <v>115</v>
      </c>
      <c r="B142" s="122" t="s">
        <v>71</v>
      </c>
      <c r="C142" s="122"/>
      <c r="D142" s="123" t="str">
        <f t="array" ref="D142">IFERROR(INDEX('Crosswalk '!$C$9:$C$94,MATCH(1,(B142='Crosswalk '!$B$9:$B$94)*(E142='Crosswalk '!$G$9:$G$94),0)),"")</f>
        <v/>
      </c>
      <c r="E142" s="291" t="str">
        <f t="array" ref="E142">IFERROR(INDEX('Crosswalk '!$E$106:$E$125,MATCH(1,($A$134='Crosswalk '!$D$106:$D$125)*($C142='Crosswalk '!$F$106:$F$125),0)),"")</f>
        <v/>
      </c>
      <c r="F142" s="484"/>
      <c r="G142" s="185"/>
      <c r="H142" s="159" t="str">
        <f t="array" ref="H142">IFERROR(INDEX('Crosswalk '!$E$9:$E$103,MATCH(1,($B142='Crosswalk '!$B$9:$B$103)*($E142='Crosswalk '!$G$9:$G$103),0)),"")</f>
        <v/>
      </c>
      <c r="I142" s="125">
        <f t="shared" si="64"/>
        <v>0</v>
      </c>
      <c r="J142" s="126" t="str">
        <f t="shared" si="65"/>
        <v/>
      </c>
      <c r="K142" s="200">
        <f t="shared" si="66"/>
        <v>0</v>
      </c>
      <c r="L142" s="294">
        <f t="shared" si="69"/>
        <v>0</v>
      </c>
      <c r="M142" s="294">
        <f t="shared" si="67"/>
        <v>0</v>
      </c>
      <c r="N142" s="186">
        <f t="shared" si="68"/>
        <v>0</v>
      </c>
      <c r="O142" s="201" t="str">
        <f t="shared" si="70"/>
        <v/>
      </c>
      <c r="P142" s="186" t="str">
        <f>IF(ISBLANK(O142),"",IFERROR(ROUND(O142*' Indirect Non-prof Sal &amp; Fringe'!$M$42,0),""))</f>
        <v/>
      </c>
      <c r="Q142" s="186" t="str">
        <f>IF(ISBLANK(O142),"",IFERROR(ROUND(O142*'Direct and Indirect Expenses'!$K$20,0),""))</f>
        <v/>
      </c>
      <c r="R142" s="309">
        <f>IFERROR(SUMIF('Direct and Indirect Expenses'!$B$14:$B$34,'Financial Summary &amp; Stats'!B142,'Direct and Indirect Expenses'!$H$14:$H$34)*N142/SUMIF('Financial Summary &amp; Stats'!$B:$B,'Financial Summary &amp; Stats'!B142,'Financial Summary &amp; Stats'!$N:$N),0)</f>
        <v>0</v>
      </c>
      <c r="S142" s="595"/>
      <c r="T142" s="202">
        <f>IFERROR(IF('Direct and Indirect Expenses'!$A$9="Other Indirect Allocation Method",(ROUND((N142+P142)/($N$8+$P$8)*'Direct and Indirect Expenses'!$C$9,0)),ROUND((N142+P142)*'Direct and Indirect Expenses'!$B$9,0)),0)</f>
        <v>0</v>
      </c>
      <c r="U142" s="202">
        <f t="shared" si="71"/>
        <v>0</v>
      </c>
      <c r="V142" s="293" t="str">
        <f t="shared" si="72"/>
        <v/>
      </c>
      <c r="Y142" s="128"/>
    </row>
    <row r="143" spans="1:25" ht="20.100000000000001" customHeight="1" x14ac:dyDescent="0.2">
      <c r="A143" s="116" t="s">
        <v>118</v>
      </c>
      <c r="B143" s="122" t="s">
        <v>124</v>
      </c>
      <c r="C143" s="122"/>
      <c r="D143" s="123" t="str">
        <f t="array" ref="D143">IFERROR(INDEX('Crosswalk '!$C$9:$C$94,MATCH(1,(B143='Crosswalk '!$B$9:$B$94)*(E143='Crosswalk '!$G$9:$G$94),0)),"")</f>
        <v/>
      </c>
      <c r="E143" s="291" t="str">
        <f t="array" ref="E143">IFERROR(INDEX('Crosswalk '!$E$106:$E$125,MATCH(1,($A$134='Crosswalk '!$D$106:$D$125)*($C143='Crosswalk '!$F$106:$F$125),0)),"")</f>
        <v/>
      </c>
      <c r="F143" s="484"/>
      <c r="G143" s="185"/>
      <c r="H143" s="159" t="str">
        <f t="array" ref="H143">IFERROR(INDEX('Crosswalk '!$E$9:$E$103,MATCH(1,($B143='Crosswalk '!$B$9:$B$103)*($E143='Crosswalk '!$G$9:$G$103),0)),"")</f>
        <v/>
      </c>
      <c r="I143" s="125">
        <f t="shared" si="64"/>
        <v>0</v>
      </c>
      <c r="J143" s="126" t="str">
        <f t="shared" si="65"/>
        <v/>
      </c>
      <c r="K143" s="200">
        <f t="shared" si="66"/>
        <v>0</v>
      </c>
      <c r="L143" s="294">
        <f t="shared" si="69"/>
        <v>0</v>
      </c>
      <c r="M143" s="294">
        <f t="shared" si="67"/>
        <v>0</v>
      </c>
      <c r="N143" s="186">
        <f t="shared" si="68"/>
        <v>0</v>
      </c>
      <c r="O143" s="201" t="str">
        <f t="shared" si="70"/>
        <v/>
      </c>
      <c r="P143" s="186" t="str">
        <f>IF(ISBLANK(O143),"",IFERROR(ROUND(O143*' Indirect Non-prof Sal &amp; Fringe'!$M$42,0),""))</f>
        <v/>
      </c>
      <c r="Q143" s="186" t="str">
        <f>IF(ISBLANK(O143),"",IFERROR(ROUND(O143*'Direct and Indirect Expenses'!$K$20,0),""))</f>
        <v/>
      </c>
      <c r="R143" s="309">
        <f>IFERROR(SUMIF('Direct and Indirect Expenses'!$B$14:$B$34,'Financial Summary &amp; Stats'!B143,'Direct and Indirect Expenses'!$H$14:$H$34)*N143/SUMIF('Financial Summary &amp; Stats'!$B:$B,'Financial Summary &amp; Stats'!B143,'Financial Summary &amp; Stats'!$N:$N),0)</f>
        <v>0</v>
      </c>
      <c r="S143" s="595"/>
      <c r="T143" s="202">
        <f>IFERROR(IF('Direct and Indirect Expenses'!$A$9="Other Indirect Allocation Method",(ROUND((N143+P143)/($N$8+$P$8)*'Direct and Indirect Expenses'!$C$9,0)),ROUND((N143+P143)*'Direct and Indirect Expenses'!$B$9,0)),0)</f>
        <v>0</v>
      </c>
      <c r="U143" s="202">
        <f t="shared" si="71"/>
        <v>0</v>
      </c>
      <c r="V143" s="293" t="str">
        <f t="shared" si="72"/>
        <v/>
      </c>
      <c r="Y143" s="128"/>
    </row>
    <row r="144" spans="1:25" ht="20.100000000000001" customHeight="1" x14ac:dyDescent="0.2">
      <c r="A144" s="116" t="s">
        <v>119</v>
      </c>
      <c r="B144" s="132" t="s">
        <v>126</v>
      </c>
      <c r="C144" s="122"/>
      <c r="D144" s="123" t="str">
        <f t="array" ref="D144">IFERROR(INDEX('Crosswalk '!$C$9:$C$94,MATCH(1,(B144='Crosswalk '!$B$9:$B$94)*(E144='Crosswalk '!$G$9:$G$94),0)),"")</f>
        <v/>
      </c>
      <c r="E144" s="291" t="str">
        <f t="array" ref="E144">IFERROR(INDEX('Crosswalk '!$E$106:$E$125,MATCH(1,($A$134='Crosswalk '!$D$106:$D$125)*($C144='Crosswalk '!$F$106:$F$125),0)),"")</f>
        <v/>
      </c>
      <c r="F144" s="484"/>
      <c r="G144" s="185"/>
      <c r="H144" s="159" t="str">
        <f t="array" ref="H144">IFERROR(INDEX('Crosswalk '!$E$9:$E$103,MATCH(1,($B144='Crosswalk '!$B$9:$B$103)*($E144='Crosswalk '!$G$9:$G$103),0)),"")</f>
        <v/>
      </c>
      <c r="I144" s="125">
        <f t="shared" si="64"/>
        <v>0</v>
      </c>
      <c r="J144" s="126" t="str">
        <f t="shared" si="65"/>
        <v/>
      </c>
      <c r="K144" s="200">
        <f t="shared" si="66"/>
        <v>0</v>
      </c>
      <c r="L144" s="294">
        <f t="shared" si="69"/>
        <v>0</v>
      </c>
      <c r="M144" s="294">
        <f t="shared" si="67"/>
        <v>0</v>
      </c>
      <c r="N144" s="186">
        <f t="shared" si="68"/>
        <v>0</v>
      </c>
      <c r="O144" s="201" t="str">
        <f t="shared" si="70"/>
        <v/>
      </c>
      <c r="P144" s="186" t="str">
        <f>IF(ISBLANK(O144),"",IFERROR(ROUND(O144*' Indirect Non-prof Sal &amp; Fringe'!$M$42,0),""))</f>
        <v/>
      </c>
      <c r="Q144" s="186" t="str">
        <f>IF(ISBLANK(O144),"",IFERROR(ROUND(O144*'Direct and Indirect Expenses'!$K$20,0),""))</f>
        <v/>
      </c>
      <c r="R144" s="309">
        <f>IFERROR(SUMIF('Direct and Indirect Expenses'!$B$14:$B$34,'Financial Summary &amp; Stats'!B144,'Direct and Indirect Expenses'!$H$14:$H$34)*N144/SUMIF('Financial Summary &amp; Stats'!$B:$B,'Financial Summary &amp; Stats'!B144,'Financial Summary &amp; Stats'!$N:$N),0)</f>
        <v>0</v>
      </c>
      <c r="S144" s="595"/>
      <c r="T144" s="202">
        <f>IFERROR(IF('Direct and Indirect Expenses'!$A$9="Other Indirect Allocation Method",(ROUND((N144+P144)/($N$8+$P$8)*'Direct and Indirect Expenses'!$C$9,0)),ROUND((N144+P144)*'Direct and Indirect Expenses'!$B$9,0)),0)</f>
        <v>0</v>
      </c>
      <c r="U144" s="202">
        <f t="shared" si="71"/>
        <v>0</v>
      </c>
      <c r="V144" s="293" t="str">
        <f t="shared" si="72"/>
        <v/>
      </c>
      <c r="W144" s="51"/>
    </row>
    <row r="145" spans="1:25" ht="20.100000000000001" customHeight="1" x14ac:dyDescent="0.2">
      <c r="A145" s="116" t="s">
        <v>80</v>
      </c>
      <c r="B145" s="122" t="s">
        <v>81</v>
      </c>
      <c r="C145" s="122"/>
      <c r="D145" s="123" t="str">
        <f t="array" ref="D145">IFERROR(INDEX('Crosswalk '!$C$9:$C$94,MATCH(1,(B145='Crosswalk '!$B$9:$B$94)*(E145='Crosswalk '!$G$9:$G$94),0)),"")</f>
        <v/>
      </c>
      <c r="E145" s="291" t="str">
        <f t="array" ref="E145">IFERROR(INDEX('Crosswalk '!$E$106:$E$125,MATCH(1,($A$134='Crosswalk '!$D$106:$D$125)*($C145='Crosswalk '!$F$106:$F$125),0)),"")</f>
        <v/>
      </c>
      <c r="F145" s="484"/>
      <c r="G145" s="185"/>
      <c r="H145" s="159" t="str">
        <f t="array" ref="H145">IFERROR(INDEX('Crosswalk '!$E$9:$E$103,MATCH(1,($B145='Crosswalk '!$B$9:$B$103)*($E145='Crosswalk '!$G$9:$G$103),0)),"")</f>
        <v/>
      </c>
      <c r="I145" s="125">
        <f t="shared" si="64"/>
        <v>0</v>
      </c>
      <c r="J145" s="126" t="str">
        <f t="shared" si="65"/>
        <v/>
      </c>
      <c r="K145" s="200">
        <f t="shared" si="66"/>
        <v>0</v>
      </c>
      <c r="L145" s="294">
        <f t="shared" si="69"/>
        <v>0</v>
      </c>
      <c r="M145" s="294">
        <f t="shared" si="67"/>
        <v>0</v>
      </c>
      <c r="N145" s="186">
        <f t="shared" si="68"/>
        <v>0</v>
      </c>
      <c r="O145" s="201" t="str">
        <f t="shared" si="70"/>
        <v/>
      </c>
      <c r="P145" s="186" t="str">
        <f>IF(ISBLANK(O145),"",IFERROR(ROUND(O145*' Indirect Non-prof Sal &amp; Fringe'!$M$42,0),""))</f>
        <v/>
      </c>
      <c r="Q145" s="186" t="str">
        <f>IF(ISBLANK(O145),"",IFERROR(ROUND(O145*'Direct and Indirect Expenses'!$K$20,0),""))</f>
        <v/>
      </c>
      <c r="R145" s="309">
        <f>IFERROR(SUMIF('Direct and Indirect Expenses'!$B$14:$B$34,'Financial Summary &amp; Stats'!B145,'Direct and Indirect Expenses'!$H$14:$H$34)*N145/SUMIF('Financial Summary &amp; Stats'!$B:$B,'Financial Summary &amp; Stats'!B145,'Financial Summary &amp; Stats'!$N:$N),0)</f>
        <v>0</v>
      </c>
      <c r="S145" s="595"/>
      <c r="T145" s="202">
        <f>IFERROR(IF('Direct and Indirect Expenses'!$A$9="Other Indirect Allocation Method",(ROUND((N145+P145)/($N$8+$P$8)*'Direct and Indirect Expenses'!$C$9,0)),ROUND((N145+P145)*'Direct and Indirect Expenses'!$B$9,0)),0)</f>
        <v>0</v>
      </c>
      <c r="U145" s="202">
        <f t="shared" si="71"/>
        <v>0</v>
      </c>
      <c r="V145" s="293" t="str">
        <f t="shared" si="72"/>
        <v/>
      </c>
      <c r="Y145" s="128"/>
    </row>
    <row r="146" spans="1:25" ht="20.100000000000001" customHeight="1" x14ac:dyDescent="0.2">
      <c r="A146" s="116" t="s">
        <v>111</v>
      </c>
      <c r="B146" s="122">
        <v>90846</v>
      </c>
      <c r="C146" s="122"/>
      <c r="D146" s="123" t="str">
        <f t="array" ref="D146">IFERROR(INDEX('Crosswalk '!$C$9:$C$94,MATCH(1,(B146='Crosswalk '!$B$9:$B$94)*(E146='Crosswalk '!$G$9:$G$94),0)),"")</f>
        <v/>
      </c>
      <c r="E146" s="291" t="str">
        <f t="array" ref="E146">IFERROR(INDEX('Crosswalk '!$E$106:$E$125,MATCH(1,($A$134='Crosswalk '!$D$106:$D$125)*($C146='Crosswalk '!$F$106:$F$125),0)),"")</f>
        <v/>
      </c>
      <c r="F146" s="484"/>
      <c r="G146" s="185"/>
      <c r="H146" s="159" t="str">
        <f t="array" ref="H146">IFERROR(INDEX('Crosswalk '!$E$9:$E$103,MATCH(1,($B146='Crosswalk '!$B$9:$B$103)*($E146='Crosswalk '!$G$9:$G$103),0)),"")</f>
        <v/>
      </c>
      <c r="I146" s="125">
        <f t="shared" si="64"/>
        <v>0</v>
      </c>
      <c r="J146" s="126" t="str">
        <f t="shared" si="65"/>
        <v/>
      </c>
      <c r="K146" s="200">
        <f t="shared" si="66"/>
        <v>0</v>
      </c>
      <c r="L146" s="294">
        <f t="shared" si="69"/>
        <v>0</v>
      </c>
      <c r="M146" s="294">
        <f t="shared" si="67"/>
        <v>0</v>
      </c>
      <c r="N146" s="186">
        <f t="shared" si="68"/>
        <v>0</v>
      </c>
      <c r="O146" s="201" t="str">
        <f t="shared" si="70"/>
        <v/>
      </c>
      <c r="P146" s="186" t="str">
        <f>IF(ISBLANK(O146),"",IFERROR(ROUND(O146*' Indirect Non-prof Sal &amp; Fringe'!$M$42,0),""))</f>
        <v/>
      </c>
      <c r="Q146" s="186" t="str">
        <f>IF(ISBLANK(O146),"",IFERROR(ROUND(O146*'Direct and Indirect Expenses'!$K$20,0),""))</f>
        <v/>
      </c>
      <c r="R146" s="309">
        <f>IFERROR(SUMIF('Direct and Indirect Expenses'!$B$14:$B$34,'Financial Summary &amp; Stats'!B146,'Direct and Indirect Expenses'!$H$14:$H$34)*N146/SUMIF('Financial Summary &amp; Stats'!$B:$B,'Financial Summary &amp; Stats'!B146,'Financial Summary &amp; Stats'!$N:$N),0)</f>
        <v>0</v>
      </c>
      <c r="S146" s="595"/>
      <c r="T146" s="202">
        <f>IFERROR(IF('Direct and Indirect Expenses'!$A$9="Other Indirect Allocation Method",(ROUND((N146+P146)/($N$8+$P$8)*'Direct and Indirect Expenses'!$C$9,0)),ROUND((N146+P146)*'Direct and Indirect Expenses'!$B$9,0)),0)</f>
        <v>0</v>
      </c>
      <c r="U146" s="202">
        <f t="shared" si="71"/>
        <v>0</v>
      </c>
      <c r="V146" s="293" t="str">
        <f t="shared" si="72"/>
        <v/>
      </c>
      <c r="Y146" s="128"/>
    </row>
    <row r="147" spans="1:25" ht="20.100000000000001" customHeight="1" x14ac:dyDescent="0.2">
      <c r="A147" s="116" t="s">
        <v>112</v>
      </c>
      <c r="B147" s="122">
        <v>90847</v>
      </c>
      <c r="C147" s="122"/>
      <c r="D147" s="123" t="str">
        <f t="array" ref="D147">IFERROR(INDEX('Crosswalk '!$C$9:$C$94,MATCH(1,(B147='Crosswalk '!$B$9:$B$94)*(E147='Crosswalk '!$G$9:$G$94),0)),"")</f>
        <v/>
      </c>
      <c r="E147" s="291" t="str">
        <f t="array" ref="E147">IFERROR(INDEX('Crosswalk '!$E$106:$E$125,MATCH(1,($A$134='Crosswalk '!$D$106:$D$125)*($C147='Crosswalk '!$F$106:$F$125),0)),"")</f>
        <v/>
      </c>
      <c r="F147" s="484"/>
      <c r="G147" s="185"/>
      <c r="H147" s="159" t="str">
        <f t="array" ref="H147">IFERROR(INDEX('Crosswalk '!$E$9:$E$103,MATCH(1,($B147='Crosswalk '!$B$9:$B$103)*($E147='Crosswalk '!$G$9:$G$103),0)),"")</f>
        <v/>
      </c>
      <c r="I147" s="125">
        <f t="shared" si="64"/>
        <v>0</v>
      </c>
      <c r="J147" s="126" t="str">
        <f t="shared" si="65"/>
        <v/>
      </c>
      <c r="K147" s="200">
        <f t="shared" si="66"/>
        <v>0</v>
      </c>
      <c r="L147" s="294">
        <f t="shared" si="69"/>
        <v>0</v>
      </c>
      <c r="M147" s="294">
        <f t="shared" si="67"/>
        <v>0</v>
      </c>
      <c r="N147" s="186">
        <f t="shared" si="68"/>
        <v>0</v>
      </c>
      <c r="O147" s="201" t="str">
        <f t="shared" si="70"/>
        <v/>
      </c>
      <c r="P147" s="186" t="str">
        <f>IF(ISBLANK(O147),"",IFERROR(ROUND(O147*' Indirect Non-prof Sal &amp; Fringe'!$M$42,0),""))</f>
        <v/>
      </c>
      <c r="Q147" s="186" t="str">
        <f>IF(ISBLANK(O147),"",IFERROR(ROUND(O147*'Direct and Indirect Expenses'!$K$20,0),""))</f>
        <v/>
      </c>
      <c r="R147" s="309">
        <f>IFERROR(SUMIF('Direct and Indirect Expenses'!$B$14:$B$34,'Financial Summary &amp; Stats'!B147,'Direct and Indirect Expenses'!$H$14:$H$34)*N147/SUMIF('Financial Summary &amp; Stats'!$B:$B,'Financial Summary &amp; Stats'!B147,'Financial Summary &amp; Stats'!$N:$N),0)</f>
        <v>0</v>
      </c>
      <c r="S147" s="595"/>
      <c r="T147" s="202">
        <f>IFERROR(IF('Direct and Indirect Expenses'!$A$9="Other Indirect Allocation Method",(ROUND((N147+P147)/($N$8+$P$8)*'Direct and Indirect Expenses'!$C$9,0)),ROUND((N147+P147)*'Direct and Indirect Expenses'!$B$9,0)),0)</f>
        <v>0</v>
      </c>
      <c r="U147" s="202">
        <f t="shared" si="71"/>
        <v>0</v>
      </c>
      <c r="V147" s="293" t="str">
        <f t="shared" si="72"/>
        <v/>
      </c>
      <c r="Y147" s="128"/>
    </row>
    <row r="148" spans="1:25" ht="20.100000000000001" customHeight="1" x14ac:dyDescent="0.2">
      <c r="A148" s="116" t="s">
        <v>72</v>
      </c>
      <c r="B148" s="122">
        <v>90853</v>
      </c>
      <c r="C148" s="122"/>
      <c r="D148" s="123" t="str">
        <f t="array" ref="D148">IFERROR(INDEX('Crosswalk '!$C$9:$C$94,MATCH(1,(B148='Crosswalk '!$B$9:$B$94)*(E148='Crosswalk '!$G$9:$G$94),0)),"")</f>
        <v/>
      </c>
      <c r="E148" s="291" t="str">
        <f t="array" ref="E148">IFERROR(INDEX('Crosswalk '!$E$106:$E$125,MATCH(1,($A$134='Crosswalk '!$D$106:$D$125)*($C148='Crosswalk '!$F$106:$F$125),0)),"")</f>
        <v/>
      </c>
      <c r="F148" s="484"/>
      <c r="G148" s="486"/>
      <c r="H148" s="159" t="str">
        <f t="array" ref="H148">IFERROR(INDEX('Crosswalk '!$E$9:$E$103,MATCH(1,($B148='Crosswalk '!$B$9:$B$103)*($E148='Crosswalk '!$G$9:$G$103),0)),"")</f>
        <v/>
      </c>
      <c r="I148" s="166"/>
      <c r="J148" s="126" t="str">
        <f t="shared" si="65"/>
        <v/>
      </c>
      <c r="K148" s="200">
        <f t="shared" si="66"/>
        <v>0</v>
      </c>
      <c r="L148" s="294">
        <f t="shared" si="69"/>
        <v>0</v>
      </c>
      <c r="M148" s="294">
        <f t="shared" si="67"/>
        <v>0</v>
      </c>
      <c r="N148" s="186">
        <f t="shared" si="68"/>
        <v>0</v>
      </c>
      <c r="O148" s="201" t="str">
        <f t="shared" si="70"/>
        <v/>
      </c>
      <c r="P148" s="186" t="str">
        <f>IF(ISBLANK(O148),"",IFERROR(ROUND(O148*' Indirect Non-prof Sal &amp; Fringe'!$M$42,0),""))</f>
        <v/>
      </c>
      <c r="Q148" s="186" t="str">
        <f>IF(ISBLANK(O148),"",IFERROR(ROUND(O148*'Direct and Indirect Expenses'!$K$20,0),""))</f>
        <v/>
      </c>
      <c r="R148" s="309">
        <f>IFERROR(SUMIF('Direct and Indirect Expenses'!$B$14:$B$34,'Financial Summary &amp; Stats'!B148,'Direct and Indirect Expenses'!$H$14:$H$34)*N148/SUMIF('Financial Summary &amp; Stats'!$B:$B,'Financial Summary &amp; Stats'!B148,'Financial Summary &amp; Stats'!$N:$N),0)</f>
        <v>0</v>
      </c>
      <c r="S148" s="595"/>
      <c r="T148" s="202">
        <f>IFERROR(IF('Direct and Indirect Expenses'!$A$9="Other Indirect Allocation Method",(ROUND((N148+P148)/($N$8+$P$8)*'Direct and Indirect Expenses'!$C$9,0)),ROUND((N148+P148)*'Direct and Indirect Expenses'!$B$9,0)),0)</f>
        <v>0</v>
      </c>
      <c r="U148" s="202">
        <f t="shared" si="71"/>
        <v>0</v>
      </c>
      <c r="V148" s="293" t="str">
        <f t="shared" si="72"/>
        <v/>
      </c>
      <c r="Y148" s="128"/>
    </row>
    <row r="149" spans="1:25" ht="20.100000000000001" customHeight="1" x14ac:dyDescent="0.2">
      <c r="A149" s="116" t="s">
        <v>127</v>
      </c>
      <c r="B149" s="122">
        <v>90832</v>
      </c>
      <c r="C149" s="122"/>
      <c r="D149" s="123" t="str">
        <f t="array" ref="D149">IFERROR(INDEX('Crosswalk '!$C$9:$C$94,MATCH(1,(B149='Crosswalk '!$B$9:$B$94)*(E149='Crosswalk '!$G$9:$G$94),0)),"")</f>
        <v/>
      </c>
      <c r="E149" s="291" t="str">
        <f t="array" ref="E149">IFERROR(INDEX('Crosswalk '!$E$106:$E$125,MATCH(1,($A$134='Crosswalk '!$D$106:$D$125)*($C149='Crosswalk '!$F$106:$F$125),0)),"")</f>
        <v/>
      </c>
      <c r="F149" s="484"/>
      <c r="G149" s="181"/>
      <c r="H149" s="159" t="str">
        <f t="array" ref="H149">IFERROR(INDEX('Crosswalk '!$E$9:$E$103,MATCH(1,($B149='Crosswalk '!$B$9:$B$103)*($E149='Crosswalk '!$G$9:$G$103),0)),"")</f>
        <v/>
      </c>
      <c r="I149" s="125">
        <f t="shared" ref="I149:I157" si="73">IFERROR(ROUND(F149*H149,2),0)</f>
        <v>0</v>
      </c>
      <c r="J149" s="126" t="str">
        <f t="shared" si="65"/>
        <v/>
      </c>
      <c r="K149" s="200">
        <f t="shared" si="66"/>
        <v>0</v>
      </c>
      <c r="L149" s="294">
        <f t="shared" si="69"/>
        <v>0</v>
      </c>
      <c r="M149" s="294">
        <f t="shared" si="67"/>
        <v>0</v>
      </c>
      <c r="N149" s="186">
        <f t="shared" si="68"/>
        <v>0</v>
      </c>
      <c r="O149" s="201" t="str">
        <f t="shared" si="70"/>
        <v/>
      </c>
      <c r="P149" s="186" t="str">
        <f>IF(ISBLANK(O149),"",IFERROR(ROUND(O149*' Indirect Non-prof Sal &amp; Fringe'!$M$42,0),""))</f>
        <v/>
      </c>
      <c r="Q149" s="186" t="str">
        <f>IF(ISBLANK(O149),"",IFERROR(ROUND(O149*'Direct and Indirect Expenses'!$K$20,0),""))</f>
        <v/>
      </c>
      <c r="R149" s="309">
        <f>IFERROR(SUMIF('Direct and Indirect Expenses'!$B$14:$B$34,'Financial Summary &amp; Stats'!B149,'Direct and Indirect Expenses'!$H$14:$H$34)*N149/SUMIF('Financial Summary &amp; Stats'!$B:$B,'Financial Summary &amp; Stats'!B149,'Financial Summary &amp; Stats'!$N:$N),0)</f>
        <v>0</v>
      </c>
      <c r="S149" s="595"/>
      <c r="T149" s="202">
        <f>IFERROR(IF('Direct and Indirect Expenses'!$A$9="Other Indirect Allocation Method",(ROUND((N149+P149)/($N$8+$P$8)*'Direct and Indirect Expenses'!$C$9,0)),ROUND((N149+P149)*'Direct and Indirect Expenses'!$B$9,0)),0)</f>
        <v>0</v>
      </c>
      <c r="U149" s="202">
        <f t="shared" si="71"/>
        <v>0</v>
      </c>
      <c r="V149" s="293" t="str">
        <f t="shared" si="72"/>
        <v/>
      </c>
      <c r="Y149" s="128"/>
    </row>
    <row r="150" spans="1:25" ht="20.100000000000001" customHeight="1" x14ac:dyDescent="0.2">
      <c r="A150" s="116" t="s">
        <v>128</v>
      </c>
      <c r="B150" s="122">
        <v>90834</v>
      </c>
      <c r="C150" s="122"/>
      <c r="D150" s="123" t="str">
        <f t="array" ref="D150">IFERROR(INDEX('Crosswalk '!$C$9:$C$94,MATCH(1,(B150='Crosswalk '!$B$9:$B$94)*(E150='Crosswalk '!$G$9:$G$94),0)),"")</f>
        <v/>
      </c>
      <c r="E150" s="291" t="str">
        <f t="array" ref="E150">IFERROR(INDEX('Crosswalk '!$E$106:$E$125,MATCH(1,($A$134='Crosswalk '!$D$106:$D$125)*($C150='Crosswalk '!$F$106:$F$125),0)),"")</f>
        <v/>
      </c>
      <c r="F150" s="484"/>
      <c r="G150" s="181"/>
      <c r="H150" s="159" t="str">
        <f t="array" ref="H150">IFERROR(INDEX('Crosswalk '!$E$9:$E$103,MATCH(1,($B150='Crosswalk '!$B$9:$B$103)*($E150='Crosswalk '!$G$9:$G$103),0)),"")</f>
        <v/>
      </c>
      <c r="I150" s="125">
        <f t="shared" si="73"/>
        <v>0</v>
      </c>
      <c r="J150" s="126" t="str">
        <f t="shared" si="65"/>
        <v/>
      </c>
      <c r="K150" s="200">
        <f t="shared" si="66"/>
        <v>0</v>
      </c>
      <c r="L150" s="294">
        <f t="shared" si="69"/>
        <v>0</v>
      </c>
      <c r="M150" s="294">
        <f t="shared" si="67"/>
        <v>0</v>
      </c>
      <c r="N150" s="186">
        <f t="shared" si="68"/>
        <v>0</v>
      </c>
      <c r="O150" s="201" t="str">
        <f t="shared" si="70"/>
        <v/>
      </c>
      <c r="P150" s="186" t="str">
        <f>IF(ISBLANK(O150),"",IFERROR(ROUND(O150*' Indirect Non-prof Sal &amp; Fringe'!$M$42,0),""))</f>
        <v/>
      </c>
      <c r="Q150" s="186" t="str">
        <f>IF(ISBLANK(O150),"",IFERROR(ROUND(O150*'Direct and Indirect Expenses'!$K$20,0),""))</f>
        <v/>
      </c>
      <c r="R150" s="309">
        <f>IFERROR(SUMIF('Direct and Indirect Expenses'!$B$14:$B$34,'Financial Summary &amp; Stats'!B150,'Direct and Indirect Expenses'!$H$14:$H$34)*N150/SUMIF('Financial Summary &amp; Stats'!$B:$B,'Financial Summary &amp; Stats'!B150,'Financial Summary &amp; Stats'!$N:$N),0)</f>
        <v>0</v>
      </c>
      <c r="S150" s="595"/>
      <c r="T150" s="202">
        <f>IFERROR(IF('Direct and Indirect Expenses'!$A$9="Other Indirect Allocation Method",(ROUND((N150+P150)/($N$8+$P$8)*'Direct and Indirect Expenses'!$C$9,0)),ROUND((N150+P150)*'Direct and Indirect Expenses'!$B$9,0)),0)</f>
        <v>0</v>
      </c>
      <c r="U150" s="202">
        <f t="shared" si="71"/>
        <v>0</v>
      </c>
      <c r="V150" s="293" t="str">
        <f t="shared" si="72"/>
        <v/>
      </c>
      <c r="Y150" s="128"/>
    </row>
    <row r="151" spans="1:25" ht="20.100000000000001" customHeight="1" x14ac:dyDescent="0.2">
      <c r="A151" s="116" t="s">
        <v>129</v>
      </c>
      <c r="B151" s="122">
        <v>90837</v>
      </c>
      <c r="C151" s="122"/>
      <c r="D151" s="123" t="str">
        <f t="array" ref="D151">IFERROR(INDEX('Crosswalk '!$C$9:$C$94,MATCH(1,(B151='Crosswalk '!$B$9:$B$94)*(E151='Crosswalk '!$G$9:$G$94),0)),"")</f>
        <v/>
      </c>
      <c r="E151" s="291" t="str">
        <f t="array" ref="E151">IFERROR(INDEX('Crosswalk '!$E$106:$E$125,MATCH(1,($A$134='Crosswalk '!$D$106:$D$125)*($C151='Crosswalk '!$F$106:$F$125),0)),"")</f>
        <v/>
      </c>
      <c r="F151" s="484"/>
      <c r="G151" s="181"/>
      <c r="H151" s="159" t="str">
        <f t="array" ref="H151">IFERROR(INDEX('Crosswalk '!$E$9:$E$103,MATCH(1,($B151='Crosswalk '!$B$9:$B$103)*($E151='Crosswalk '!$G$9:$G$103),0)),"")</f>
        <v/>
      </c>
      <c r="I151" s="125">
        <f t="shared" si="73"/>
        <v>0</v>
      </c>
      <c r="J151" s="126" t="str">
        <f t="shared" si="65"/>
        <v/>
      </c>
      <c r="K151" s="200">
        <f t="shared" si="66"/>
        <v>0</v>
      </c>
      <c r="L151" s="294">
        <f t="shared" si="69"/>
        <v>0</v>
      </c>
      <c r="M151" s="294">
        <f t="shared" si="67"/>
        <v>0</v>
      </c>
      <c r="N151" s="186">
        <f t="shared" si="68"/>
        <v>0</v>
      </c>
      <c r="O151" s="201" t="str">
        <f t="shared" si="70"/>
        <v/>
      </c>
      <c r="P151" s="186" t="str">
        <f>IF(ISBLANK(O151),"",IFERROR(ROUND(O151*' Indirect Non-prof Sal &amp; Fringe'!$M$42,0),""))</f>
        <v/>
      </c>
      <c r="Q151" s="186" t="str">
        <f>IF(ISBLANK(O151),"",IFERROR(ROUND(O151*'Direct and Indirect Expenses'!$K$20,0),""))</f>
        <v/>
      </c>
      <c r="R151" s="309">
        <f>IFERROR(SUMIF('Direct and Indirect Expenses'!$B$14:$B$34,'Financial Summary &amp; Stats'!B151,'Direct and Indirect Expenses'!$H$14:$H$34)*N151/SUMIF('Financial Summary &amp; Stats'!$B:$B,'Financial Summary &amp; Stats'!B151,'Financial Summary &amp; Stats'!$N:$N),0)</f>
        <v>0</v>
      </c>
      <c r="S151" s="595"/>
      <c r="T151" s="202">
        <f>IFERROR(IF('Direct and Indirect Expenses'!$A$9="Other Indirect Allocation Method",(ROUND((N151+P151)/($N$8+$P$8)*'Direct and Indirect Expenses'!$C$9,0)),ROUND((N151+P151)*'Direct and Indirect Expenses'!$B$9,0)),0)</f>
        <v>0</v>
      </c>
      <c r="U151" s="202">
        <f t="shared" si="71"/>
        <v>0</v>
      </c>
      <c r="V151" s="293" t="str">
        <f t="shared" si="72"/>
        <v/>
      </c>
      <c r="Y151" s="128"/>
    </row>
    <row r="152" spans="1:25" ht="20.100000000000001" customHeight="1" x14ac:dyDescent="0.2">
      <c r="A152" s="116" t="s">
        <v>114</v>
      </c>
      <c r="B152" s="122" t="s">
        <v>113</v>
      </c>
      <c r="C152" s="122"/>
      <c r="D152" s="123" t="str">
        <f t="array" ref="D152">IFERROR(INDEX('Crosswalk '!$C$9:$C$94,MATCH(1,(B152='Crosswalk '!$B$9:$B$94)*(E152='Crosswalk '!$G$9:$G$94),0)),"")</f>
        <v/>
      </c>
      <c r="E152" s="291" t="str">
        <f t="array" ref="E152">IFERROR(INDEX('Crosswalk '!$E$106:$E$125,MATCH(1,($A$134='Crosswalk '!$D$106:$D$125)*($C152='Crosswalk '!$F$106:$F$125),0)),"")</f>
        <v/>
      </c>
      <c r="F152" s="484"/>
      <c r="G152" s="181"/>
      <c r="H152" s="159" t="str">
        <f t="array" ref="H152">IFERROR(INDEX('Crosswalk '!$E$9:$E$103,MATCH(1,($B152='Crosswalk '!$B$9:$B$103)*($E152='Crosswalk '!$G$9:$G$103),0)),"")</f>
        <v/>
      </c>
      <c r="I152" s="125">
        <f t="shared" si="73"/>
        <v>0</v>
      </c>
      <c r="J152" s="126" t="str">
        <f t="shared" si="65"/>
        <v/>
      </c>
      <c r="K152" s="200">
        <f t="shared" si="66"/>
        <v>0</v>
      </c>
      <c r="L152" s="294">
        <f t="shared" si="69"/>
        <v>0</v>
      </c>
      <c r="M152" s="294">
        <f t="shared" si="67"/>
        <v>0</v>
      </c>
      <c r="N152" s="186">
        <f t="shared" si="68"/>
        <v>0</v>
      </c>
      <c r="O152" s="201" t="str">
        <f t="shared" si="70"/>
        <v/>
      </c>
      <c r="P152" s="186" t="str">
        <f>IF(ISBLANK(O152),"",IFERROR(ROUND(O152*' Indirect Non-prof Sal &amp; Fringe'!$M$42,0),""))</f>
        <v/>
      </c>
      <c r="Q152" s="186" t="str">
        <f>IF(ISBLANK(O152),"",IFERROR(ROUND(O152*'Direct and Indirect Expenses'!$K$20,0),""))</f>
        <v/>
      </c>
      <c r="R152" s="309">
        <f>IFERROR(SUMIF('Direct and Indirect Expenses'!$B$14:$B$34,'Financial Summary &amp; Stats'!B152,'Direct and Indirect Expenses'!$H$14:$H$34)*N152/SUMIF('Financial Summary &amp; Stats'!$B:$B,'Financial Summary &amp; Stats'!B152,'Financial Summary &amp; Stats'!$N:$N),0)</f>
        <v>0</v>
      </c>
      <c r="S152" s="595"/>
      <c r="T152" s="202">
        <f>IFERROR(IF('Direct and Indirect Expenses'!$A$9="Other Indirect Allocation Method",(ROUND((N152+P152)/($N$8+$P$8)*'Direct and Indirect Expenses'!$C$9,0)),ROUND((N152+P152)*'Direct and Indirect Expenses'!$B$9,0)),0)</f>
        <v>0</v>
      </c>
      <c r="U152" s="202">
        <f t="shared" si="71"/>
        <v>0</v>
      </c>
      <c r="V152" s="293" t="str">
        <f t="shared" si="72"/>
        <v/>
      </c>
      <c r="Y152" s="128"/>
    </row>
    <row r="153" spans="1:25" ht="20.100000000000001" customHeight="1" x14ac:dyDescent="0.2">
      <c r="A153" s="116" t="s">
        <v>130</v>
      </c>
      <c r="B153" s="122">
        <v>90849</v>
      </c>
      <c r="C153" s="122"/>
      <c r="D153" s="123" t="str">
        <f t="array" ref="D153">IFERROR(INDEX('Crosswalk '!$C$9:$C$94,MATCH(1,(B153='Crosswalk '!$B$9:$B$94)*(E153='Crosswalk '!$G$9:$G$94),0)),"")</f>
        <v/>
      </c>
      <c r="E153" s="291" t="str">
        <f t="array" ref="E153">IFERROR(INDEX('Crosswalk '!$E$106:$E$125,MATCH(1,($A$134='Crosswalk '!$D$106:$D$125)*($C153='Crosswalk '!$F$106:$F$125),0)),"")</f>
        <v/>
      </c>
      <c r="F153" s="484"/>
      <c r="G153" s="181"/>
      <c r="H153" s="159" t="str">
        <f t="array" ref="H153">IFERROR(INDEX('Crosswalk '!$E$9:$E$103,MATCH(1,($B153='Crosswalk '!$B$9:$B$103)*($E153='Crosswalk '!$G$9:$G$103),0)),"")</f>
        <v/>
      </c>
      <c r="I153" s="125">
        <f t="shared" si="73"/>
        <v>0</v>
      </c>
      <c r="J153" s="126" t="str">
        <f t="shared" si="65"/>
        <v/>
      </c>
      <c r="K153" s="200">
        <f t="shared" si="66"/>
        <v>0</v>
      </c>
      <c r="L153" s="294">
        <f t="shared" si="69"/>
        <v>0</v>
      </c>
      <c r="M153" s="294">
        <f t="shared" si="67"/>
        <v>0</v>
      </c>
      <c r="N153" s="186">
        <f t="shared" si="68"/>
        <v>0</v>
      </c>
      <c r="O153" s="201" t="str">
        <f t="shared" si="70"/>
        <v/>
      </c>
      <c r="P153" s="186" t="str">
        <f>IF(ISBLANK(O153),"",IFERROR(ROUND(O153*' Indirect Non-prof Sal &amp; Fringe'!$M$42,0),""))</f>
        <v/>
      </c>
      <c r="Q153" s="186" t="str">
        <f>IF(ISBLANK(O153),"",IFERROR(ROUND(O153*'Direct and Indirect Expenses'!$K$20,0),""))</f>
        <v/>
      </c>
      <c r="R153" s="309">
        <f>IFERROR(SUMIF('Direct and Indirect Expenses'!$B$14:$B$34,'Financial Summary &amp; Stats'!B153,'Direct and Indirect Expenses'!$H$14:$H$34)*N153/SUMIF('Financial Summary &amp; Stats'!$B:$B,'Financial Summary &amp; Stats'!B153,'Financial Summary &amp; Stats'!$N:$N),0)</f>
        <v>0</v>
      </c>
      <c r="S153" s="595"/>
      <c r="T153" s="202">
        <f>IFERROR(IF('Direct and Indirect Expenses'!$A$9="Other Indirect Allocation Method",(ROUND((N153+P153)/($N$8+$P$8)*'Direct and Indirect Expenses'!$C$9,0)),ROUND((N153+P153)*'Direct and Indirect Expenses'!$B$9,0)),0)</f>
        <v>0</v>
      </c>
      <c r="U153" s="202">
        <f t="shared" si="71"/>
        <v>0</v>
      </c>
      <c r="V153" s="293" t="str">
        <f t="shared" si="72"/>
        <v/>
      </c>
      <c r="Y153" s="128"/>
    </row>
    <row r="154" spans="1:25" ht="20.100000000000001" customHeight="1" x14ac:dyDescent="0.2">
      <c r="A154" s="116" t="s">
        <v>83</v>
      </c>
      <c r="B154" s="122" t="s">
        <v>84</v>
      </c>
      <c r="C154" s="122"/>
      <c r="D154" s="123">
        <f t="array" ref="D154">IFERROR(INDEX('Crosswalk '!$C$9:$C$94,MATCH(1,(B154='Crosswalk '!$B$9:$B$94)*(E154='Crosswalk '!$G$9:$G$94),0)),"")</f>
        <v>0</v>
      </c>
      <c r="E154" s="291" t="str">
        <f t="array" ref="E154">IFERROR(INDEX('Crosswalk '!$E$106:$E$125,MATCH(1,($A$134='Crosswalk '!$D$106:$D$125)*($C154='Crosswalk '!$F$106:$F$125),0)),"")</f>
        <v/>
      </c>
      <c r="F154" s="484"/>
      <c r="G154" s="181"/>
      <c r="H154" s="159">
        <f t="array" ref="H154">IFERROR(INDEX('Crosswalk '!$E$9:$E$103,MATCH(1,($B154='Crosswalk '!$B$9:$B$103)*($E154='Crosswalk '!$G$9:$G$103),0)),"")</f>
        <v>0.25</v>
      </c>
      <c r="I154" s="125">
        <f t="shared" si="73"/>
        <v>0</v>
      </c>
      <c r="J154" s="126">
        <f t="shared" si="65"/>
        <v>0</v>
      </c>
      <c r="K154" s="200">
        <f t="shared" si="66"/>
        <v>0</v>
      </c>
      <c r="L154" s="294">
        <f t="shared" si="69"/>
        <v>0</v>
      </c>
      <c r="M154" s="294">
        <f t="shared" si="67"/>
        <v>0</v>
      </c>
      <c r="N154" s="186">
        <f t="shared" si="68"/>
        <v>0</v>
      </c>
      <c r="O154" s="201" t="str">
        <f t="shared" si="70"/>
        <v/>
      </c>
      <c r="P154" s="186" t="str">
        <f>IF(ISBLANK(O154),"",IFERROR(ROUND(O154*' Indirect Non-prof Sal &amp; Fringe'!$M$42,0),""))</f>
        <v/>
      </c>
      <c r="Q154" s="186" t="str">
        <f>IF(ISBLANK(O154),"",IFERROR(ROUND(O154*'Direct and Indirect Expenses'!$K$20,0),""))</f>
        <v/>
      </c>
      <c r="R154" s="309">
        <f>IFERROR(SUMIF('Direct and Indirect Expenses'!$B$14:$B$34,'Financial Summary &amp; Stats'!B154,'Direct and Indirect Expenses'!$H$14:$H$34)*N154/SUMIF('Financial Summary &amp; Stats'!$B:$B,'Financial Summary &amp; Stats'!B154,'Financial Summary &amp; Stats'!$N:$N),0)</f>
        <v>0</v>
      </c>
      <c r="S154" s="595"/>
      <c r="T154" s="202">
        <f>IFERROR(IF('Direct and Indirect Expenses'!$A$9="Other Indirect Allocation Method",(ROUND((N154+P154)/($N$8+$P$8)*'Direct and Indirect Expenses'!$C$9,0)),ROUND((N154+P154)*'Direct and Indirect Expenses'!$B$9,0)),0)</f>
        <v>0</v>
      </c>
      <c r="U154" s="202">
        <f t="shared" si="71"/>
        <v>0</v>
      </c>
      <c r="V154" s="293" t="str">
        <f t="shared" si="72"/>
        <v/>
      </c>
      <c r="Y154" s="128"/>
    </row>
    <row r="155" spans="1:25" ht="20.100000000000001" customHeight="1" x14ac:dyDescent="0.2">
      <c r="A155" s="116" t="s">
        <v>132</v>
      </c>
      <c r="B155" s="122">
        <v>90792</v>
      </c>
      <c r="C155" s="122"/>
      <c r="D155" s="123" t="str">
        <f t="array" ref="D155">IFERROR(INDEX('Crosswalk '!$C$9:$C$94,MATCH(1,(B155='Crosswalk '!$B$9:$B$94)*(E155='Crosswalk '!$G$9:$G$94),0)),"")</f>
        <v/>
      </c>
      <c r="E155" s="291" t="str">
        <f t="array" ref="E155">IFERROR(INDEX('Crosswalk '!$E$106:$E$125,MATCH(1,($A$134='Crosswalk '!$D$106:$D$125)*($C155='Crosswalk '!$F$106:$F$125),0)),"")</f>
        <v/>
      </c>
      <c r="F155" s="484"/>
      <c r="G155" s="181"/>
      <c r="H155" s="159" t="str">
        <f t="array" ref="H155">IFERROR(INDEX('Crosswalk '!$E$9:$E$103,MATCH(1,($B155='Crosswalk '!$B$9:$B$103)*($E155='Crosswalk '!$G$9:$G$103),0)),"")</f>
        <v/>
      </c>
      <c r="I155" s="125">
        <f t="shared" si="73"/>
        <v>0</v>
      </c>
      <c r="J155" s="126" t="str">
        <f t="shared" si="65"/>
        <v/>
      </c>
      <c r="K155" s="200">
        <f t="shared" si="66"/>
        <v>0</v>
      </c>
      <c r="L155" s="294">
        <f t="shared" si="69"/>
        <v>0</v>
      </c>
      <c r="M155" s="294">
        <f t="shared" si="67"/>
        <v>0</v>
      </c>
      <c r="N155" s="186">
        <f t="shared" si="68"/>
        <v>0</v>
      </c>
      <c r="O155" s="201" t="str">
        <f t="shared" si="70"/>
        <v/>
      </c>
      <c r="P155" s="186" t="str">
        <f>IF(ISBLANK(O155),"",IFERROR(ROUND(O155*' Indirect Non-prof Sal &amp; Fringe'!$M$42,0),""))</f>
        <v/>
      </c>
      <c r="Q155" s="186" t="str">
        <f>IF(ISBLANK(O155),"",IFERROR(ROUND(O155*'Direct and Indirect Expenses'!$K$20,0),""))</f>
        <v/>
      </c>
      <c r="R155" s="309">
        <f>IFERROR(SUMIF('Direct and Indirect Expenses'!$B$14:$B$34,'Financial Summary &amp; Stats'!B155,'Direct and Indirect Expenses'!$H$14:$H$34)*N155/SUMIF('Financial Summary &amp; Stats'!$B:$B,'Financial Summary &amp; Stats'!B155,'Financial Summary &amp; Stats'!$N:$N),0)</f>
        <v>0</v>
      </c>
      <c r="S155" s="595"/>
      <c r="T155" s="202">
        <f>IFERROR(IF('Direct and Indirect Expenses'!$A$9="Other Indirect Allocation Method",(ROUND((N155+P155)/($N$8+$P$8)*'Direct and Indirect Expenses'!$C$9,0)),ROUND((N155+P155)*'Direct and Indirect Expenses'!$B$9,0)),0)</f>
        <v>0</v>
      </c>
      <c r="U155" s="202">
        <f t="shared" si="71"/>
        <v>0</v>
      </c>
      <c r="V155" s="293" t="str">
        <f t="shared" si="72"/>
        <v/>
      </c>
      <c r="Y155" s="128"/>
    </row>
    <row r="156" spans="1:25" ht="20.100000000000001" customHeight="1" x14ac:dyDescent="0.2">
      <c r="A156" s="116" t="s">
        <v>131</v>
      </c>
      <c r="B156" s="122">
        <v>90791</v>
      </c>
      <c r="C156" s="122"/>
      <c r="D156" s="123" t="str">
        <f t="array" ref="D156">IFERROR(INDEX('Crosswalk '!$C$9:$C$94,MATCH(1,(B156='Crosswalk '!$B$9:$B$94)*(E156='Crosswalk '!$G$9:$G$94),0)),"")</f>
        <v/>
      </c>
      <c r="E156" s="291" t="str">
        <f t="array" ref="E156">IFERROR(INDEX('Crosswalk '!$E$106:$E$125,MATCH(1,($A$134='Crosswalk '!$D$106:$D$125)*($C156='Crosswalk '!$F$106:$F$125),0)),"")</f>
        <v/>
      </c>
      <c r="F156" s="484"/>
      <c r="G156" s="181"/>
      <c r="H156" s="159" t="str">
        <f t="array" ref="H156">IFERROR(INDEX('Crosswalk '!$E$9:$E$103,MATCH(1,($B156='Crosswalk '!$B$9:$B$103)*($E156='Crosswalk '!$G$9:$G$103),0)),"")</f>
        <v/>
      </c>
      <c r="I156" s="125">
        <f t="shared" si="73"/>
        <v>0</v>
      </c>
      <c r="J156" s="126" t="str">
        <f t="shared" si="65"/>
        <v/>
      </c>
      <c r="K156" s="200">
        <f t="shared" si="66"/>
        <v>0</v>
      </c>
      <c r="L156" s="294">
        <f t="shared" si="69"/>
        <v>0</v>
      </c>
      <c r="M156" s="294">
        <f t="shared" si="67"/>
        <v>0</v>
      </c>
      <c r="N156" s="186">
        <f t="shared" si="68"/>
        <v>0</v>
      </c>
      <c r="O156" s="201" t="str">
        <f t="shared" si="70"/>
        <v/>
      </c>
      <c r="P156" s="186" t="str">
        <f>IF(ISBLANK(O156),"",IFERROR(ROUND(O156*' Indirect Non-prof Sal &amp; Fringe'!$M$42,0),""))</f>
        <v/>
      </c>
      <c r="Q156" s="186" t="str">
        <f>IF(ISBLANK(O156),"",IFERROR(ROUND(O156*'Direct and Indirect Expenses'!$K$20,0),""))</f>
        <v/>
      </c>
      <c r="R156" s="309">
        <f>IFERROR(SUMIF('Direct and Indirect Expenses'!$B$14:$B$34,'Financial Summary &amp; Stats'!B156,'Direct and Indirect Expenses'!$H$14:$H$34)*N156/SUMIF('Financial Summary &amp; Stats'!$B:$B,'Financial Summary &amp; Stats'!B156,'Financial Summary &amp; Stats'!$N:$N),0)</f>
        <v>0</v>
      </c>
      <c r="S156" s="595"/>
      <c r="T156" s="202">
        <f>IFERROR(IF('Direct and Indirect Expenses'!$A$9="Other Indirect Allocation Method",(ROUND((N156+P156)/($N$8+$P$8)*'Direct and Indirect Expenses'!$C$9,0)),ROUND((N156+P156)*'Direct and Indirect Expenses'!$B$9,0)),0)</f>
        <v>0</v>
      </c>
      <c r="U156" s="202">
        <f t="shared" si="71"/>
        <v>0</v>
      </c>
      <c r="V156" s="293" t="str">
        <f t="shared" si="72"/>
        <v/>
      </c>
      <c r="Y156" s="128"/>
    </row>
    <row r="157" spans="1:25" ht="20.100000000000001" customHeight="1" x14ac:dyDescent="0.2">
      <c r="A157" s="116" t="s">
        <v>116</v>
      </c>
      <c r="B157" s="122" t="s">
        <v>85</v>
      </c>
      <c r="C157" s="122" t="s">
        <v>195</v>
      </c>
      <c r="D157" s="123" t="str">
        <f t="array" ref="D157">IFERROR(INDEX('Crosswalk '!$C$9:$C$94,MATCH(1,(B157='Crosswalk '!$B$9:$B$94)*(E157='Crosswalk '!$G$9:$G$94),0)),"")</f>
        <v/>
      </c>
      <c r="E157" s="291" t="str">
        <f t="array" ref="E157">IFERROR(INDEX('Crosswalk '!$E$106:$E$125,MATCH(1,($A$134='Crosswalk '!$D$106:$D$125)*($C157='Crosswalk '!$F$106:$F$125),0)),"")</f>
        <v/>
      </c>
      <c r="F157" s="484"/>
      <c r="G157" s="181"/>
      <c r="H157" s="159" t="str">
        <f t="array" ref="H157">IFERROR(INDEX('Crosswalk '!$E$9:$E$103,MATCH(1,($B157='Crosswalk '!$B$9:$B$103)*($E157='Crosswalk '!$G$9:$G$103),0)),"")</f>
        <v/>
      </c>
      <c r="I157" s="125">
        <f t="shared" si="73"/>
        <v>0</v>
      </c>
      <c r="J157" s="126" t="str">
        <f t="shared" si="65"/>
        <v/>
      </c>
      <c r="K157" s="200">
        <f t="shared" si="66"/>
        <v>0</v>
      </c>
      <c r="L157" s="294">
        <f t="shared" si="69"/>
        <v>0</v>
      </c>
      <c r="M157" s="294">
        <f t="shared" si="67"/>
        <v>0</v>
      </c>
      <c r="N157" s="186">
        <f t="shared" si="68"/>
        <v>0</v>
      </c>
      <c r="O157" s="201" t="str">
        <f t="shared" si="70"/>
        <v/>
      </c>
      <c r="P157" s="186" t="str">
        <f>IF(ISBLANK(O157),"",IFERROR(ROUND(O157*' Indirect Non-prof Sal &amp; Fringe'!$M$42,0),""))</f>
        <v/>
      </c>
      <c r="Q157" s="186" t="str">
        <f>IF(ISBLANK(O157),"",IFERROR(ROUND(O157*'Direct and Indirect Expenses'!$K$20,0),""))</f>
        <v/>
      </c>
      <c r="R157" s="309">
        <f>IFERROR(SUMIF('Direct and Indirect Expenses'!$B$14:$B$34,'Financial Summary &amp; Stats'!B157,'Direct and Indirect Expenses'!$H$14:$H$34)*N157/SUMIF('Financial Summary &amp; Stats'!$B:$B,'Financial Summary &amp; Stats'!B157,'Financial Summary &amp; Stats'!$N:$N),0)</f>
        <v>0</v>
      </c>
      <c r="S157" s="595"/>
      <c r="T157" s="202">
        <f>IFERROR(IF('Direct and Indirect Expenses'!$A$9="Other Indirect Allocation Method",(ROUND((N157+P157)/($N$8+$P$8)*'Direct and Indirect Expenses'!$C$9,0)),ROUND((N157+P157)*'Direct and Indirect Expenses'!$B$9,0)),0)</f>
        <v>0</v>
      </c>
      <c r="U157" s="202">
        <f t="shared" si="71"/>
        <v>0</v>
      </c>
      <c r="V157" s="293" t="str">
        <f t="shared" si="72"/>
        <v/>
      </c>
      <c r="Y157" s="128"/>
    </row>
    <row r="158" spans="1:25" ht="20.100000000000001" customHeight="1" x14ac:dyDescent="0.2">
      <c r="A158" s="116" t="s">
        <v>116</v>
      </c>
      <c r="B158" s="122" t="s">
        <v>85</v>
      </c>
      <c r="C158" s="122" t="s">
        <v>196</v>
      </c>
      <c r="D158" s="123" t="str">
        <f t="array" ref="D158">IFERROR(INDEX('Crosswalk '!$C$9:$C$94,MATCH(1,(B158='Crosswalk '!$B$9:$B$94)*(E158='Crosswalk '!$G$9:$G$94),0)),"")</f>
        <v/>
      </c>
      <c r="E158" s="291" t="str">
        <f t="array" ref="E158">IFERROR(INDEX('Crosswalk '!$E$106:$E$125,MATCH(1,($A$134='Crosswalk '!$D$106:$D$125)*($C158='Crosswalk '!$F$106:$F$125),0)),"")</f>
        <v/>
      </c>
      <c r="F158" s="484"/>
      <c r="G158" s="486"/>
      <c r="H158" s="159" t="str">
        <f t="array" ref="H158">IFERROR(INDEX('Crosswalk '!$E$9:$E$103,MATCH(1,($B158='Crosswalk '!$B$9:$B$103)*($E158='Crosswalk '!$G$9:$G$103),0)),"")</f>
        <v/>
      </c>
      <c r="I158" s="166"/>
      <c r="J158" s="126" t="str">
        <f t="shared" si="65"/>
        <v/>
      </c>
      <c r="K158" s="200">
        <f t="shared" si="66"/>
        <v>0</v>
      </c>
      <c r="L158" s="294">
        <f t="shared" si="69"/>
        <v>0</v>
      </c>
      <c r="M158" s="294">
        <f t="shared" si="67"/>
        <v>0</v>
      </c>
      <c r="N158" s="186">
        <f t="shared" si="68"/>
        <v>0</v>
      </c>
      <c r="O158" s="201" t="str">
        <f t="shared" si="70"/>
        <v/>
      </c>
      <c r="P158" s="186" t="str">
        <f>IF(ISBLANK(O158),"",IFERROR(ROUND(O158*' Indirect Non-prof Sal &amp; Fringe'!$M$42,0),""))</f>
        <v/>
      </c>
      <c r="Q158" s="186" t="str">
        <f>IF(ISBLANK(O158),"",IFERROR(ROUND(O158*'Direct and Indirect Expenses'!$K$20,0),""))</f>
        <v/>
      </c>
      <c r="R158" s="309">
        <f>IFERROR(SUMIF('Direct and Indirect Expenses'!$B$14:$B$34,'Financial Summary &amp; Stats'!B158,'Direct and Indirect Expenses'!$H$14:$H$34)*N158/SUMIF('Financial Summary &amp; Stats'!$B:$B,'Financial Summary &amp; Stats'!B158,'Financial Summary &amp; Stats'!$N:$N),0)</f>
        <v>0</v>
      </c>
      <c r="S158" s="595"/>
      <c r="T158" s="202">
        <f>IFERROR(IF('Direct and Indirect Expenses'!$A$9="Other Indirect Allocation Method",(ROUND((N158+P158)/($N$8+$P$8)*'Direct and Indirect Expenses'!$C$9,0)),ROUND((N158+P158)*'Direct and Indirect Expenses'!$B$9,0)),0)</f>
        <v>0</v>
      </c>
      <c r="U158" s="202">
        <f t="shared" si="71"/>
        <v>0</v>
      </c>
      <c r="V158" s="293" t="str">
        <f t="shared" si="72"/>
        <v/>
      </c>
      <c r="Y158" s="128"/>
    </row>
    <row r="159" spans="1:25" ht="20.100000000000001" customHeight="1" x14ac:dyDescent="0.2">
      <c r="A159" s="116" t="s">
        <v>116</v>
      </c>
      <c r="B159" s="122" t="s">
        <v>85</v>
      </c>
      <c r="C159" s="122"/>
      <c r="D159" s="123" t="str">
        <f t="array" ref="D159">IFERROR(INDEX('Crosswalk '!$C$9:$C$94,MATCH(1,(B159='Crosswalk '!$B$9:$B$94)*(E159='Crosswalk '!$G$9:$G$94),0)),"")</f>
        <v/>
      </c>
      <c r="E159" s="291" t="str">
        <f t="array" ref="E159">IFERROR(INDEX('Crosswalk '!$E$106:$E$125,MATCH(1,($A$134='Crosswalk '!$D$106:$D$125)*($C159='Crosswalk '!$F$106:$F$125),0)),"")</f>
        <v/>
      </c>
      <c r="F159" s="484"/>
      <c r="G159" s="486"/>
      <c r="H159" s="159" t="str">
        <f t="array" ref="H159">IFERROR(INDEX('Crosswalk '!$E$9:$E$103,MATCH(1,($B159='Crosswalk '!$B$9:$B$103)*($E159='Crosswalk '!$G$9:$G$103),0)),"")</f>
        <v/>
      </c>
      <c r="I159" s="166"/>
      <c r="J159" s="126" t="str">
        <f t="shared" si="65"/>
        <v/>
      </c>
      <c r="K159" s="200">
        <f t="shared" si="66"/>
        <v>0</v>
      </c>
      <c r="L159" s="294">
        <f t="shared" si="69"/>
        <v>0</v>
      </c>
      <c r="M159" s="294">
        <f t="shared" si="67"/>
        <v>0</v>
      </c>
      <c r="N159" s="186">
        <f t="shared" si="68"/>
        <v>0</v>
      </c>
      <c r="O159" s="201" t="str">
        <f t="shared" si="70"/>
        <v/>
      </c>
      <c r="P159" s="186" t="str">
        <f>IF(ISBLANK(O159),"",IFERROR(ROUND(O159*' Indirect Non-prof Sal &amp; Fringe'!$M$42,0),""))</f>
        <v/>
      </c>
      <c r="Q159" s="186" t="str">
        <f>IF(ISBLANK(O159),"",IFERROR(ROUND(O159*'Direct and Indirect Expenses'!$K$20,0),""))</f>
        <v/>
      </c>
      <c r="R159" s="309">
        <f>IFERROR(SUMIF('Direct and Indirect Expenses'!$B$14:$B$34,'Financial Summary &amp; Stats'!B159,'Direct and Indirect Expenses'!$H$14:$H$34)*N159/SUMIF('Financial Summary &amp; Stats'!$B:$B,'Financial Summary &amp; Stats'!B159,'Financial Summary &amp; Stats'!$N:$N),0)</f>
        <v>0</v>
      </c>
      <c r="S159" s="595"/>
      <c r="T159" s="202">
        <f>IFERROR(IF('Direct and Indirect Expenses'!$A$9="Other Indirect Allocation Method",(ROUND((N159+P159)/($N$8+$P$8)*'Direct and Indirect Expenses'!$C$9,0)),ROUND((N159+P159)*'Direct and Indirect Expenses'!$B$9,0)),0)</f>
        <v>0</v>
      </c>
      <c r="U159" s="202">
        <f t="shared" si="71"/>
        <v>0</v>
      </c>
      <c r="V159" s="293" t="str">
        <f t="shared" si="72"/>
        <v/>
      </c>
      <c r="Y159" s="128"/>
    </row>
    <row r="160" spans="1:25" ht="20.100000000000001" customHeight="1" x14ac:dyDescent="0.2">
      <c r="A160" s="116" t="s">
        <v>110</v>
      </c>
      <c r="B160" s="122" t="s">
        <v>73</v>
      </c>
      <c r="C160" s="122"/>
      <c r="D160" s="123" t="str">
        <f t="array" ref="D160">IFERROR(INDEX('Crosswalk '!$C$9:$C$94,MATCH(1,(B160='Crosswalk '!$B$9:$B$94)*(E160='Crosswalk '!$G$9:$G$94),0)),"")</f>
        <v/>
      </c>
      <c r="E160" s="291" t="str">
        <f t="array" ref="E160">IFERROR(INDEX('Crosswalk '!$E$106:$E$125,MATCH(1,($A$134='Crosswalk '!$D$106:$D$125)*($C160='Crosswalk '!$F$106:$F$125),0)),"")</f>
        <v/>
      </c>
      <c r="F160" s="484"/>
      <c r="G160" s="181"/>
      <c r="H160" s="159" t="str">
        <f t="array" ref="H160">IFERROR(INDEX('Crosswalk '!$E$9:$E$103,MATCH(1,($B160='Crosswalk '!$B$9:$B$103)*($E160='Crosswalk '!$G$9:$G$103),0)),"")</f>
        <v/>
      </c>
      <c r="I160" s="125">
        <f t="shared" ref="I160:I162" si="74">IFERROR(ROUND(F160*H160,2),0)</f>
        <v>0</v>
      </c>
      <c r="J160" s="126" t="str">
        <f t="shared" si="65"/>
        <v/>
      </c>
      <c r="K160" s="200">
        <f t="shared" si="66"/>
        <v>0</v>
      </c>
      <c r="L160" s="294">
        <f t="shared" si="69"/>
        <v>0</v>
      </c>
      <c r="M160" s="294">
        <f t="shared" si="67"/>
        <v>0</v>
      </c>
      <c r="N160" s="186">
        <f t="shared" si="68"/>
        <v>0</v>
      </c>
      <c r="O160" s="201" t="str">
        <f t="shared" si="70"/>
        <v/>
      </c>
      <c r="P160" s="186" t="str">
        <f>IF(ISBLANK(O160),"",IFERROR(ROUND(O160*' Indirect Non-prof Sal &amp; Fringe'!$M$42,0),""))</f>
        <v/>
      </c>
      <c r="Q160" s="186" t="str">
        <f>IF(ISBLANK(O160),"",IFERROR(ROUND(O160*'Direct and Indirect Expenses'!$K$20,0),""))</f>
        <v/>
      </c>
      <c r="R160" s="309">
        <f>IFERROR(SUMIF('Direct and Indirect Expenses'!$B$14:$B$34,'Financial Summary &amp; Stats'!B160,'Direct and Indirect Expenses'!$H$14:$H$34)*N160/SUMIF('Financial Summary &amp; Stats'!$B:$B,'Financial Summary &amp; Stats'!B160,'Financial Summary &amp; Stats'!$N:$N),0)</f>
        <v>0</v>
      </c>
      <c r="S160" s="595"/>
      <c r="T160" s="202">
        <f>IFERROR(IF('Direct and Indirect Expenses'!$A$9="Other Indirect Allocation Method",(ROUND((N160+P160)/($N$8+$P$8)*'Direct and Indirect Expenses'!$C$9,0)),ROUND((N160+P160)*'Direct and Indirect Expenses'!$B$9,0)),0)</f>
        <v>0</v>
      </c>
      <c r="U160" s="202">
        <f t="shared" si="71"/>
        <v>0</v>
      </c>
      <c r="V160" s="293" t="str">
        <f t="shared" si="72"/>
        <v/>
      </c>
      <c r="Y160" s="128"/>
    </row>
    <row r="161" spans="1:25" ht="20.100000000000001" customHeight="1" x14ac:dyDescent="0.2">
      <c r="A161" s="116" t="s">
        <v>109</v>
      </c>
      <c r="B161" s="122">
        <v>99367</v>
      </c>
      <c r="C161" s="122"/>
      <c r="D161" s="123">
        <f t="array" ref="D161">IFERROR(INDEX('Crosswalk '!$C$9:$C$94,MATCH(1,(B161='Crosswalk '!$B$9:$B$94)*(E161='Crosswalk '!$G$9:$G$94),0)),"")</f>
        <v>0</v>
      </c>
      <c r="E161" s="159" t="s">
        <v>142</v>
      </c>
      <c r="F161" s="484"/>
      <c r="G161" s="181"/>
      <c r="H161" s="159">
        <f t="array" ref="H161">IFERROR(INDEX('Crosswalk '!$E$9:$E$103,MATCH(1,($B161='Crosswalk '!$B$9:$B$103)*($E161='Crosswalk '!$G$9:$G$103),0)),"")</f>
        <v>0.5</v>
      </c>
      <c r="I161" s="125">
        <f t="shared" si="74"/>
        <v>0</v>
      </c>
      <c r="J161" s="126">
        <f t="shared" si="65"/>
        <v>0</v>
      </c>
      <c r="K161" s="200">
        <f t="shared" si="66"/>
        <v>0</v>
      </c>
      <c r="L161" s="294">
        <f t="shared" si="69"/>
        <v>0</v>
      </c>
      <c r="M161" s="294">
        <f t="shared" si="67"/>
        <v>0</v>
      </c>
      <c r="N161" s="186">
        <f t="shared" si="68"/>
        <v>0</v>
      </c>
      <c r="O161" s="201" t="str">
        <f t="shared" si="70"/>
        <v/>
      </c>
      <c r="P161" s="186" t="str">
        <f>IF(ISBLANK(O161),"",IFERROR(ROUND(O161*' Indirect Non-prof Sal &amp; Fringe'!$M$42,0),""))</f>
        <v/>
      </c>
      <c r="Q161" s="186" t="str">
        <f>IF(ISBLANK(O161),"",IFERROR(ROUND(O161*'Direct and Indirect Expenses'!$K$20,0),""))</f>
        <v/>
      </c>
      <c r="R161" s="309">
        <f>IFERROR(SUMIF('Direct and Indirect Expenses'!$B$14:$B$34,'Financial Summary &amp; Stats'!B161,'Direct and Indirect Expenses'!$H$14:$H$34)*N161/SUMIF('Financial Summary &amp; Stats'!$B:$B,'Financial Summary &amp; Stats'!B161,'Financial Summary &amp; Stats'!$N:$N),0)</f>
        <v>0</v>
      </c>
      <c r="S161" s="595"/>
      <c r="T161" s="202">
        <f>IFERROR(IF('Direct and Indirect Expenses'!$A$9="Other Indirect Allocation Method",(ROUND((N161+P161)/($N$8+$P$8)*'Direct and Indirect Expenses'!$C$9,0)),ROUND((N161+P161)*'Direct and Indirect Expenses'!$B$9,0)),0)</f>
        <v>0</v>
      </c>
      <c r="U161" s="202">
        <f t="shared" si="71"/>
        <v>0</v>
      </c>
      <c r="V161" s="293" t="str">
        <f t="shared" si="72"/>
        <v/>
      </c>
      <c r="Y161" s="128"/>
    </row>
    <row r="162" spans="1:25" ht="20.100000000000001" customHeight="1" x14ac:dyDescent="0.2">
      <c r="A162" s="116" t="s">
        <v>108</v>
      </c>
      <c r="B162" s="122">
        <v>99366</v>
      </c>
      <c r="C162" s="122"/>
      <c r="D162" s="123">
        <f t="array" ref="D162">IFERROR(INDEX('Crosswalk '!$C$9:$C$94,MATCH(1,(B162='Crosswalk '!$B$9:$B$94)*(E162='Crosswalk '!$G$9:$G$94),0)),"")</f>
        <v>0</v>
      </c>
      <c r="E162" s="159" t="s">
        <v>142</v>
      </c>
      <c r="F162" s="484"/>
      <c r="G162" s="181"/>
      <c r="H162" s="159">
        <f t="array" ref="H162">IFERROR(INDEX('Crosswalk '!$E$9:$E$103,MATCH(1,($B162='Crosswalk '!$B$9:$B$103)*($E162='Crosswalk '!$G$9:$G$103),0)),"")</f>
        <v>0.5</v>
      </c>
      <c r="I162" s="125">
        <f t="shared" si="74"/>
        <v>0</v>
      </c>
      <c r="J162" s="126">
        <f t="shared" si="65"/>
        <v>0</v>
      </c>
      <c r="K162" s="200">
        <f t="shared" si="66"/>
        <v>0</v>
      </c>
      <c r="L162" s="294">
        <f t="shared" si="69"/>
        <v>0</v>
      </c>
      <c r="M162" s="294">
        <f t="shared" si="67"/>
        <v>0</v>
      </c>
      <c r="N162" s="186">
        <f t="shared" si="68"/>
        <v>0</v>
      </c>
      <c r="O162" s="201" t="str">
        <f>IFERROR(ROUND(N162/'Direct Prof Sal &amp; Fringes  '!$L$8,8),"")</f>
        <v/>
      </c>
      <c r="P162" s="186" t="str">
        <f>IF(ISBLANK(O162),"",IFERROR(ROUND(O162*' Indirect Non-prof Sal &amp; Fringe'!$M$42,0),""))</f>
        <v/>
      </c>
      <c r="Q162" s="186" t="str">
        <f>IF(ISBLANK(O162),"",IFERROR(ROUND(O162*'Direct and Indirect Expenses'!$K$20,0),""))</f>
        <v/>
      </c>
      <c r="R162" s="309">
        <f>IFERROR(SUMIF('Direct and Indirect Expenses'!$B$14:$B$34,'Financial Summary &amp; Stats'!B162,'Direct and Indirect Expenses'!$H$14:$H$34)*N162/SUMIF('Financial Summary &amp; Stats'!$B:$B,'Financial Summary &amp; Stats'!B162,'Financial Summary &amp; Stats'!$N:$N),0)</f>
        <v>0</v>
      </c>
      <c r="S162" s="595"/>
      <c r="T162" s="202">
        <f>IFERROR(IF('Direct and Indirect Expenses'!$A$9="Other Indirect Allocation Method",(ROUND((N162+P162)/($N$8+$P$8)*'Direct and Indirect Expenses'!$C$9,0)),ROUND((N162+P162)*'Direct and Indirect Expenses'!$B$9,0)),0)</f>
        <v>0</v>
      </c>
      <c r="U162" s="202">
        <f t="shared" si="71"/>
        <v>0</v>
      </c>
      <c r="V162" s="293" t="str">
        <f t="shared" si="72"/>
        <v/>
      </c>
      <c r="Y162" s="128"/>
    </row>
    <row r="163" spans="1:25" ht="20.100000000000001" customHeight="1" x14ac:dyDescent="0.2">
      <c r="A163" s="171"/>
      <c r="B163" s="172"/>
      <c r="C163" s="172"/>
      <c r="D163" s="173"/>
      <c r="E163" s="173"/>
      <c r="F163" s="174"/>
      <c r="G163" s="179"/>
      <c r="H163" s="175"/>
      <c r="I163" s="176"/>
      <c r="J163" s="176"/>
      <c r="K163" s="178"/>
      <c r="L163" s="296"/>
      <c r="M163" s="296"/>
      <c r="N163" s="302"/>
      <c r="O163" s="177"/>
      <c r="P163" s="177"/>
      <c r="Q163" s="177"/>
      <c r="R163" s="302"/>
      <c r="S163" s="302"/>
      <c r="T163" s="193"/>
      <c r="U163" s="193"/>
      <c r="V163" s="191"/>
      <c r="Y163" s="128"/>
    </row>
    <row r="164" spans="1:25" ht="20.100000000000001" customHeight="1" x14ac:dyDescent="0.2">
      <c r="A164" s="171"/>
      <c r="B164" s="172"/>
      <c r="C164" s="172"/>
      <c r="D164" s="173"/>
      <c r="E164" s="173"/>
      <c r="F164" s="174"/>
      <c r="G164" s="179"/>
      <c r="H164" s="175"/>
      <c r="I164" s="176"/>
      <c r="J164" s="176"/>
      <c r="K164" s="178"/>
      <c r="L164" s="296"/>
      <c r="M164" s="296"/>
      <c r="N164" s="302"/>
      <c r="O164" s="177"/>
      <c r="P164" s="177"/>
      <c r="Q164" s="177"/>
      <c r="R164" s="302"/>
      <c r="S164" s="302"/>
      <c r="T164" s="193"/>
      <c r="U164" s="193"/>
      <c r="V164" s="191"/>
      <c r="Y164" s="128"/>
    </row>
    <row r="165" spans="1:25" ht="20.100000000000001" customHeight="1" x14ac:dyDescent="0.25">
      <c r="A165" s="289" t="s">
        <v>101</v>
      </c>
      <c r="B165" s="122"/>
      <c r="C165" s="122"/>
      <c r="D165" s="123"/>
      <c r="E165" s="123"/>
      <c r="F165" s="130"/>
      <c r="G165" s="180"/>
      <c r="H165" s="159"/>
      <c r="I165" s="125"/>
      <c r="J165" s="126"/>
      <c r="K165" s="127"/>
      <c r="L165" s="295"/>
      <c r="M165" s="295"/>
      <c r="N165" s="186"/>
      <c r="O165" s="121"/>
      <c r="P165" s="121"/>
      <c r="Q165" s="186"/>
      <c r="R165" s="186"/>
      <c r="S165" s="186"/>
      <c r="T165" s="186"/>
      <c r="U165" s="186"/>
      <c r="V165" s="293"/>
      <c r="Y165" s="128"/>
    </row>
    <row r="166" spans="1:25" ht="20.100000000000001" customHeight="1" x14ac:dyDescent="0.2">
      <c r="A166" s="129" t="s">
        <v>117</v>
      </c>
      <c r="B166" s="131">
        <v>96101</v>
      </c>
      <c r="C166" s="131"/>
      <c r="D166" s="123" t="str">
        <f t="array" ref="D166">IFERROR(INDEX('Crosswalk '!$C$9:$C$94,MATCH(1,(B166='Crosswalk '!$B$9:$B$94)*(E166='Crosswalk '!$G$9:$G$94),0)),"")</f>
        <v/>
      </c>
      <c r="E166" s="291" t="str">
        <f t="array" ref="E166">IFERROR(INDEX('Crosswalk '!$E$106:$E$125,MATCH(1,($A$134='Crosswalk '!$D$106:$D$125)*($C166='Crosswalk '!$F$106:$F$125),0)),"")</f>
        <v/>
      </c>
      <c r="F166" s="485"/>
      <c r="G166" s="181"/>
      <c r="H166" s="159" t="str">
        <f t="array" ref="H166">IFERROR(INDEX('Crosswalk '!$E$9:$E$103,MATCH(1,($B166='Crosswalk '!$B$9:$B$103)*($E166='Crosswalk '!$G$9:$G$103),0)),"")</f>
        <v/>
      </c>
      <c r="I166" s="125">
        <f t="shared" ref="I166:I168" si="75">IFERROR(ROUND(F166*H166,2),0)</f>
        <v>0</v>
      </c>
      <c r="J166" s="126" t="str">
        <f t="shared" ref="J166:J168" si="76">IF(ISTEXT(H166),"",IFERROR(ROUND(I166+G166,2),""))</f>
        <v/>
      </c>
      <c r="K166" s="127">
        <f t="shared" ref="K166:K168" si="77">IF(ISERROR(J166/$J$50),0,ROUND(J166/$J$50,8))</f>
        <v>0</v>
      </c>
      <c r="L166" s="294">
        <f t="shared" ref="L166:L168" si="78">ROUND(K166*$B$136,0)</f>
        <v>0</v>
      </c>
      <c r="M166" s="294">
        <f t="shared" ref="M166:M168" si="79">IFERROR(ROUND(L166/$L$173*$M$173,0),0)</f>
        <v>0</v>
      </c>
      <c r="N166" s="186">
        <f t="shared" ref="N166:N168" si="80">ROUND(L166+M166,0)</f>
        <v>0</v>
      </c>
      <c r="O166" s="201" t="str">
        <f>IFERROR(ROUND(N166/'Direct Prof Sal &amp; Fringes  '!$L$8,8),"")</f>
        <v/>
      </c>
      <c r="P166" s="186" t="str">
        <f>IF(ISBLANK(O166),"",IFERROR(ROUND(O166*' Indirect Non-prof Sal &amp; Fringe'!$M$42,0),""))</f>
        <v/>
      </c>
      <c r="Q166" s="186" t="str">
        <f>IF(ISBLANK(O166),"",IFERROR(ROUND(O166*'Direct and Indirect Expenses'!$K$20,0),""))</f>
        <v/>
      </c>
      <c r="R166" s="309">
        <f>IFERROR(SUMIF('Direct and Indirect Expenses'!$B$14:$B$34,'Financial Summary &amp; Stats'!B166,'Direct and Indirect Expenses'!$H$14:$H$34)*N166/SUMIF('Financial Summary &amp; Stats'!$B:$B,'Financial Summary &amp; Stats'!B166,'Financial Summary &amp; Stats'!$N:$N),0)</f>
        <v>0</v>
      </c>
      <c r="S166" s="595"/>
      <c r="T166" s="202">
        <f>IFERROR(IF('Direct and Indirect Expenses'!$A$9="Other Indirect Allocation Method",(ROUND((N166+P166)/($N$8+$P$8)*'Direct and Indirect Expenses'!$C$9,0)),ROUND((N166+P166)*'Direct and Indirect Expenses'!$B$9,0)),0)</f>
        <v>0</v>
      </c>
      <c r="U166" s="202">
        <f t="shared" ref="U166:U168" si="81">IFERROR(ROUND((T166+R166+Q166+P166+N166),0),0)</f>
        <v>0</v>
      </c>
      <c r="V166" s="293" t="str">
        <f>IFERROR(ROUND(U166/F166,2),"")</f>
        <v/>
      </c>
      <c r="Y166" s="128"/>
    </row>
    <row r="167" spans="1:25" ht="20.100000000000001" customHeight="1" x14ac:dyDescent="0.2">
      <c r="A167" s="129" t="s">
        <v>122</v>
      </c>
      <c r="B167" s="132" t="s">
        <v>120</v>
      </c>
      <c r="C167" s="132"/>
      <c r="D167" s="123" t="str">
        <f t="array" ref="D167">IFERROR(INDEX('Crosswalk '!$C$9:$C$94,MATCH(1,(B167='Crosswalk '!$B$9:$B$94)*(E167='Crosswalk '!$G$9:$G$94),0)),"")</f>
        <v/>
      </c>
      <c r="E167" s="123"/>
      <c r="F167" s="485"/>
      <c r="G167" s="181"/>
      <c r="H167" s="159">
        <f t="array" ref="H167">IFERROR(INDEX('Crosswalk '!$E$9:$E$103,MATCH(1,($B167='Crosswalk '!$B$9:$B$103)*($E167='Crosswalk '!$G$9:$G$103),0)),"")</f>
        <v>0.25</v>
      </c>
      <c r="I167" s="125">
        <f t="shared" si="75"/>
        <v>0</v>
      </c>
      <c r="J167" s="126">
        <f t="shared" si="76"/>
        <v>0</v>
      </c>
      <c r="K167" s="127">
        <f t="shared" si="77"/>
        <v>0</v>
      </c>
      <c r="L167" s="294">
        <f t="shared" si="78"/>
        <v>0</v>
      </c>
      <c r="M167" s="294">
        <f t="shared" si="79"/>
        <v>0</v>
      </c>
      <c r="N167" s="186">
        <f t="shared" si="80"/>
        <v>0</v>
      </c>
      <c r="O167" s="201" t="str">
        <f>IFERROR(ROUND(N167/'Direct Prof Sal &amp; Fringes  '!$L$8,8),"")</f>
        <v/>
      </c>
      <c r="P167" s="186" t="str">
        <f>IF(ISBLANK(O167),"",IFERROR(ROUND(O167*' Indirect Non-prof Sal &amp; Fringe'!$M$42,0),""))</f>
        <v/>
      </c>
      <c r="Q167" s="186" t="str">
        <f>IF(ISBLANK(O167),"",IFERROR(ROUND(O167*'Direct and Indirect Expenses'!$K$20,0),""))</f>
        <v/>
      </c>
      <c r="R167" s="309">
        <f>IFERROR(SUMIF('Direct and Indirect Expenses'!$B$14:$B$34,'Financial Summary &amp; Stats'!B167,'Direct and Indirect Expenses'!$H$14:$H$34)*N167/SUMIF('Financial Summary &amp; Stats'!$B:$B,'Financial Summary &amp; Stats'!B167,'Financial Summary &amp; Stats'!$N:$N),0)</f>
        <v>0</v>
      </c>
      <c r="S167" s="595"/>
      <c r="T167" s="202">
        <f>IFERROR(IF('Direct and Indirect Expenses'!$A$9="Other Indirect Allocation Method",(ROUND((N167+P167)/($N$8+$P$8)*'Direct and Indirect Expenses'!$C$9,0)),ROUND((N167+P167)*'Direct and Indirect Expenses'!$B$9,0)),0)</f>
        <v>0</v>
      </c>
      <c r="U167" s="202">
        <f t="shared" si="81"/>
        <v>0</v>
      </c>
      <c r="V167" s="293" t="str">
        <f t="shared" ref="V167:V168" si="82">IFERROR(ROUND(U167/F167,2),"")</f>
        <v/>
      </c>
      <c r="Y167" s="128"/>
    </row>
    <row r="168" spans="1:25" ht="20.100000000000001" customHeight="1" x14ac:dyDescent="0.2">
      <c r="A168" s="129" t="s">
        <v>123</v>
      </c>
      <c r="B168" s="132" t="s">
        <v>121</v>
      </c>
      <c r="C168" s="132"/>
      <c r="D168" s="123" t="str">
        <f t="array" ref="D168">IFERROR(INDEX('Crosswalk '!$C$9:$C$94,MATCH(1,(B168='Crosswalk '!$B$9:$B$94)*(E168='Crosswalk '!$G$9:$G$94),0)),"")</f>
        <v/>
      </c>
      <c r="E168" s="123"/>
      <c r="F168" s="485"/>
      <c r="G168" s="181"/>
      <c r="H168" s="159">
        <f t="array" ref="H168">IFERROR(INDEX('Crosswalk '!$E$9:$E$103,MATCH(1,($B168='Crosswalk '!$B$9:$B$103)*($E168='Crosswalk '!$G$9:$G$103),0)),"")</f>
        <v>0.25</v>
      </c>
      <c r="I168" s="125">
        <f t="shared" si="75"/>
        <v>0</v>
      </c>
      <c r="J168" s="126">
        <f t="shared" si="76"/>
        <v>0</v>
      </c>
      <c r="K168" s="127">
        <f t="shared" si="77"/>
        <v>0</v>
      </c>
      <c r="L168" s="294">
        <f t="shared" si="78"/>
        <v>0</v>
      </c>
      <c r="M168" s="294">
        <f t="shared" si="79"/>
        <v>0</v>
      </c>
      <c r="N168" s="186">
        <f t="shared" si="80"/>
        <v>0</v>
      </c>
      <c r="O168" s="201" t="str">
        <f>IFERROR(ROUND(N168/'Direct Prof Sal &amp; Fringes  '!$L$8,8),"")</f>
        <v/>
      </c>
      <c r="P168" s="186" t="str">
        <f>IF(ISBLANK(O168),"",IFERROR(ROUND(O168*' Indirect Non-prof Sal &amp; Fringe'!$M$42,0),""))</f>
        <v/>
      </c>
      <c r="Q168" s="186" t="str">
        <f>IF(ISBLANK(O168),"",IFERROR(ROUND(O168*'Direct and Indirect Expenses'!$K$20,0),""))</f>
        <v/>
      </c>
      <c r="R168" s="309">
        <f>IFERROR(SUMIF('Direct and Indirect Expenses'!$B$14:$B$34,'Financial Summary &amp; Stats'!B168,'Direct and Indirect Expenses'!$H$14:$H$34)*N168/SUMIF('Financial Summary &amp; Stats'!$B:$B,'Financial Summary &amp; Stats'!B168,'Financial Summary &amp; Stats'!$N:$N),0)</f>
        <v>0</v>
      </c>
      <c r="S168" s="595"/>
      <c r="T168" s="202">
        <f>IFERROR(IF('Direct and Indirect Expenses'!$A$9="Other Indirect Allocation Method",(ROUND((N168+P168)/($N$8+$P$8)*'Direct and Indirect Expenses'!$C$9,0)),ROUND((N168+P168)*'Direct and Indirect Expenses'!$B$9,0)),0)</f>
        <v>0</v>
      </c>
      <c r="U168" s="202">
        <f t="shared" si="81"/>
        <v>0</v>
      </c>
      <c r="V168" s="293" t="str">
        <f t="shared" si="82"/>
        <v/>
      </c>
      <c r="Y168" s="128"/>
    </row>
    <row r="169" spans="1:25" ht="20.100000000000001" customHeight="1" x14ac:dyDescent="0.2">
      <c r="A169" s="161"/>
      <c r="B169" s="162"/>
      <c r="C169" s="162"/>
      <c r="D169" s="163"/>
      <c r="E169" s="163"/>
      <c r="F169" s="164"/>
      <c r="G169" s="181"/>
      <c r="H169" s="165"/>
      <c r="I169" s="166"/>
      <c r="J169" s="167"/>
      <c r="K169" s="169"/>
      <c r="L169" s="297"/>
      <c r="M169" s="297"/>
      <c r="N169" s="193"/>
      <c r="O169" s="168"/>
      <c r="P169" s="168"/>
      <c r="Q169" s="168"/>
      <c r="R169" s="193"/>
      <c r="S169" s="193"/>
      <c r="T169" s="193"/>
      <c r="U169" s="193"/>
      <c r="V169" s="191"/>
      <c r="Y169" s="128"/>
    </row>
    <row r="170" spans="1:25" ht="20.100000000000001" customHeight="1" x14ac:dyDescent="0.2">
      <c r="A170" s="161"/>
      <c r="B170" s="170"/>
      <c r="C170" s="170"/>
      <c r="D170" s="163"/>
      <c r="E170" s="163"/>
      <c r="F170" s="164"/>
      <c r="G170" s="181"/>
      <c r="H170" s="165"/>
      <c r="I170" s="166"/>
      <c r="J170" s="167"/>
      <c r="K170" s="169"/>
      <c r="L170" s="297"/>
      <c r="M170" s="297"/>
      <c r="N170" s="303"/>
      <c r="O170" s="168"/>
      <c r="P170" s="168"/>
      <c r="Q170" s="168"/>
      <c r="R170" s="193"/>
      <c r="S170" s="193"/>
      <c r="T170" s="193"/>
      <c r="U170" s="193"/>
      <c r="V170" s="191"/>
      <c r="Y170" s="128"/>
    </row>
    <row r="171" spans="1:25" ht="20.100000000000001" customHeight="1" x14ac:dyDescent="0.2">
      <c r="A171" s="129" t="s">
        <v>31</v>
      </c>
      <c r="B171" s="133"/>
      <c r="C171" s="133"/>
      <c r="D171" s="123"/>
      <c r="E171" s="123"/>
      <c r="F171" s="130"/>
      <c r="G171" s="180"/>
      <c r="H171" s="124"/>
      <c r="I171" s="120"/>
      <c r="J171" s="183">
        <f>B135-ROUND(SUM(J140:J162)+SUM(J166:J168),2)</f>
        <v>0</v>
      </c>
      <c r="K171" s="127">
        <f>IF(ISERROR(J171/$J$173),0,ROUND(J171/$J$173,8))</f>
        <v>0</v>
      </c>
      <c r="L171" s="297"/>
      <c r="M171" s="297"/>
      <c r="N171" s="303"/>
      <c r="O171" s="168"/>
      <c r="P171" s="168"/>
      <c r="Q171" s="168"/>
      <c r="R171" s="193"/>
      <c r="S171" s="193"/>
      <c r="T171" s="193"/>
      <c r="U171" s="193"/>
      <c r="V171" s="191"/>
      <c r="Y171" s="128"/>
    </row>
    <row r="172" spans="1:25" ht="20.100000000000001" customHeight="1" x14ac:dyDescent="0.2">
      <c r="A172" s="129"/>
      <c r="B172" s="133"/>
      <c r="C172" s="133"/>
      <c r="D172" s="123"/>
      <c r="E172" s="123"/>
      <c r="F172" s="130"/>
      <c r="G172" s="180"/>
      <c r="H172" s="124"/>
      <c r="I172" s="125"/>
      <c r="J172" s="126"/>
      <c r="K172" s="127"/>
      <c r="L172" s="297"/>
      <c r="M172" s="297"/>
      <c r="N172" s="303"/>
      <c r="O172" s="168"/>
      <c r="P172" s="168"/>
      <c r="Q172" s="168"/>
      <c r="R172" s="193"/>
      <c r="S172" s="193"/>
      <c r="T172" s="193"/>
      <c r="U172" s="193"/>
      <c r="V172" s="191"/>
      <c r="Y172" s="128"/>
    </row>
    <row r="173" spans="1:25" ht="20.100000000000001" customHeight="1" x14ac:dyDescent="0.2">
      <c r="A173" s="129" t="s">
        <v>38</v>
      </c>
      <c r="B173" s="133"/>
      <c r="C173" s="133"/>
      <c r="D173" s="123"/>
      <c r="E173" s="123"/>
      <c r="F173" s="134">
        <f>SUM(F140:F172)</f>
        <v>0</v>
      </c>
      <c r="G173" s="182">
        <f>ROUND(SUM(G140:G172),2)</f>
        <v>0</v>
      </c>
      <c r="H173" s="119"/>
      <c r="I173" s="125">
        <f>ROUND(SUM(I140:I172),2)</f>
        <v>0</v>
      </c>
      <c r="J173" s="126">
        <f>IFERROR(SUM(J140:J171),"")</f>
        <v>0</v>
      </c>
      <c r="K173" s="121">
        <f>ROUND(SUM(K140:K172),4)</f>
        <v>0</v>
      </c>
      <c r="L173" s="298">
        <f>ROUND(SUM(L140:L172),0)</f>
        <v>0</v>
      </c>
      <c r="M173" s="295">
        <f>ROUND(K171*$B$136,0)</f>
        <v>0</v>
      </c>
      <c r="N173" s="194">
        <f>ROUND(SUM(N140:N172),0)</f>
        <v>0</v>
      </c>
      <c r="O173" s="201" t="str">
        <f t="shared" ref="O173" si="83">IFERROR(ROUND(N173/$N$8,4),"")</f>
        <v/>
      </c>
      <c r="P173" s="135">
        <f t="shared" ref="P173:U173" si="84">ROUND(SUM(P140:P172),0)</f>
        <v>0</v>
      </c>
      <c r="Q173" s="135">
        <f t="shared" si="84"/>
        <v>0</v>
      </c>
      <c r="R173" s="194">
        <f t="shared" si="84"/>
        <v>0</v>
      </c>
      <c r="S173" s="194">
        <f t="shared" si="84"/>
        <v>0</v>
      </c>
      <c r="T173" s="194">
        <f t="shared" si="84"/>
        <v>0</v>
      </c>
      <c r="U173" s="194">
        <f t="shared" si="84"/>
        <v>0</v>
      </c>
      <c r="V173" s="190" t="str">
        <f>IFERROR(AVERAGE(V140:V162,V165:V168),"")</f>
        <v/>
      </c>
    </row>
    <row r="174" spans="1:25" ht="20.100000000000001" customHeight="1" thickBot="1" x14ac:dyDescent="0.25">
      <c r="A174" s="139"/>
      <c r="B174" s="147"/>
      <c r="C174" s="147"/>
      <c r="D174" s="148"/>
      <c r="E174" s="148"/>
      <c r="F174" s="149"/>
      <c r="G174" s="310"/>
      <c r="H174" s="138"/>
      <c r="I174" s="145"/>
      <c r="J174" s="150"/>
      <c r="K174" s="137"/>
      <c r="L174" s="300"/>
      <c r="M174" s="304"/>
      <c r="N174" s="305"/>
      <c r="O174" s="137"/>
      <c r="P174" s="151"/>
      <c r="Q174" s="151"/>
      <c r="R174" s="305"/>
      <c r="S174" s="305"/>
      <c r="T174" s="305"/>
      <c r="U174" s="305"/>
      <c r="V174" s="311"/>
    </row>
    <row r="175" spans="1:25" ht="19.5" customHeight="1" x14ac:dyDescent="0.3">
      <c r="A175" s="669" t="str">
        <f>IF(ISBLANK('Direct Prof Sal &amp; Fringes  '!B159),"",+'Direct Prof Sal &amp; Fringes  '!B159)</f>
        <v/>
      </c>
      <c r="B175" s="671"/>
      <c r="C175" s="671"/>
      <c r="D175" s="671"/>
      <c r="E175" s="671"/>
      <c r="F175" s="671"/>
      <c r="G175" s="671"/>
      <c r="H175" s="671"/>
      <c r="I175" s="671"/>
      <c r="J175" s="671"/>
      <c r="K175" s="671"/>
      <c r="L175" s="671"/>
      <c r="M175" s="671"/>
      <c r="N175" s="671"/>
      <c r="O175" s="671"/>
      <c r="P175" s="671"/>
      <c r="Q175" s="671"/>
      <c r="R175" s="671"/>
      <c r="S175" s="671"/>
      <c r="T175" s="671"/>
      <c r="U175" s="671"/>
      <c r="V175" s="672"/>
    </row>
    <row r="176" spans="1:25" ht="20.100000000000001" customHeight="1" x14ac:dyDescent="0.25">
      <c r="A176" s="429" t="s">
        <v>18</v>
      </c>
      <c r="B176" s="461">
        <f>+'Direct Prof Sal &amp; Fringes  '!I194</f>
        <v>0</v>
      </c>
      <c r="C176" s="461"/>
      <c r="D176" s="431"/>
      <c r="E176" s="432"/>
      <c r="F176" s="432"/>
      <c r="G176" s="431"/>
      <c r="H176" s="433"/>
      <c r="I176" s="434"/>
      <c r="J176" s="432"/>
      <c r="K176" s="433"/>
      <c r="L176" s="435"/>
      <c r="M176" s="436"/>
      <c r="N176" s="436"/>
      <c r="O176" s="457"/>
      <c r="P176" s="457"/>
      <c r="Q176" s="457"/>
      <c r="R176" s="438"/>
      <c r="S176" s="438"/>
      <c r="T176" s="438"/>
      <c r="U176" s="439"/>
      <c r="V176" s="440"/>
    </row>
    <row r="177" spans="1:25" ht="20.100000000000001" customHeight="1" x14ac:dyDescent="0.25">
      <c r="A177" s="429" t="s">
        <v>163</v>
      </c>
      <c r="B177" s="462">
        <f>+'Direct Prof Sal &amp; Fringes  '!L194</f>
        <v>0</v>
      </c>
      <c r="C177" s="462"/>
      <c r="D177" s="431"/>
      <c r="E177" s="432"/>
      <c r="F177" s="432"/>
      <c r="G177" s="431"/>
      <c r="H177" s="433"/>
      <c r="I177" s="434"/>
      <c r="J177" s="432"/>
      <c r="K177" s="433"/>
      <c r="L177" s="435"/>
      <c r="M177" s="436"/>
      <c r="N177" s="436"/>
      <c r="O177" s="457"/>
      <c r="P177" s="457"/>
      <c r="Q177" s="457"/>
      <c r="R177" s="442"/>
      <c r="S177" s="442"/>
      <c r="T177" s="442"/>
      <c r="U177" s="442"/>
      <c r="V177" s="443"/>
    </row>
    <row r="178" spans="1:25" ht="20.100000000000001" customHeight="1" thickBot="1" x14ac:dyDescent="0.3">
      <c r="A178" s="444" t="s">
        <v>222</v>
      </c>
      <c r="B178" s="445">
        <f>IFERROR((ROUND((SUM($J$181:$J$209))/B176,8)),0)</f>
        <v>0</v>
      </c>
      <c r="C178" s="447"/>
      <c r="D178" s="448"/>
      <c r="E178" s="447"/>
      <c r="F178" s="447"/>
      <c r="G178" s="448"/>
      <c r="H178" s="449"/>
      <c r="I178" s="450"/>
      <c r="J178" s="447"/>
      <c r="K178" s="449"/>
      <c r="L178" s="451"/>
      <c r="M178" s="452"/>
      <c r="N178" s="452"/>
      <c r="O178" s="458"/>
      <c r="P178" s="458"/>
      <c r="Q178" s="458"/>
      <c r="R178" s="454"/>
      <c r="S178" s="454"/>
      <c r="T178" s="454"/>
      <c r="U178" s="454"/>
      <c r="V178" s="455"/>
    </row>
    <row r="179" spans="1:25" ht="19.5" customHeight="1" thickBot="1" x14ac:dyDescent="0.3">
      <c r="A179" s="428" t="s">
        <v>49</v>
      </c>
      <c r="B179" s="428" t="s">
        <v>50</v>
      </c>
      <c r="C179" s="428" t="s">
        <v>51</v>
      </c>
      <c r="D179" s="428" t="s">
        <v>52</v>
      </c>
      <c r="E179" s="428" t="s">
        <v>53</v>
      </c>
      <c r="F179" s="428" t="s">
        <v>54</v>
      </c>
      <c r="G179" s="428" t="s">
        <v>55</v>
      </c>
      <c r="H179" s="428" t="s">
        <v>56</v>
      </c>
      <c r="I179" s="428" t="s">
        <v>57</v>
      </c>
      <c r="J179" s="428" t="s">
        <v>58</v>
      </c>
      <c r="K179" s="428" t="s">
        <v>59</v>
      </c>
      <c r="L179" s="428" t="s">
        <v>223</v>
      </c>
      <c r="M179" s="428" t="s">
        <v>224</v>
      </c>
      <c r="N179" s="428" t="s">
        <v>225</v>
      </c>
      <c r="O179" s="428" t="s">
        <v>226</v>
      </c>
      <c r="P179" s="428" t="s">
        <v>227</v>
      </c>
      <c r="Q179" s="428" t="s">
        <v>228</v>
      </c>
      <c r="R179" s="428" t="s">
        <v>229</v>
      </c>
      <c r="S179" s="428" t="s">
        <v>230</v>
      </c>
      <c r="T179" s="428" t="s">
        <v>231</v>
      </c>
      <c r="U179" s="428" t="s">
        <v>232</v>
      </c>
      <c r="V179" s="428" t="s">
        <v>242</v>
      </c>
    </row>
    <row r="180" spans="1:25" ht="85.5" customHeight="1" thickBot="1" x14ac:dyDescent="0.3">
      <c r="A180" s="346" t="s">
        <v>244</v>
      </c>
      <c r="B180" s="347" t="s">
        <v>42</v>
      </c>
      <c r="C180" s="347" t="s">
        <v>198</v>
      </c>
      <c r="D180" s="348" t="s">
        <v>62</v>
      </c>
      <c r="E180" s="348" t="s">
        <v>98</v>
      </c>
      <c r="F180" s="536" t="s">
        <v>260</v>
      </c>
      <c r="G180" s="349" t="s">
        <v>199</v>
      </c>
      <c r="H180" s="350" t="s">
        <v>19</v>
      </c>
      <c r="I180" s="347" t="s">
        <v>256</v>
      </c>
      <c r="J180" s="347" t="s">
        <v>41</v>
      </c>
      <c r="K180" s="351" t="s">
        <v>30</v>
      </c>
      <c r="L180" s="352" t="s">
        <v>173</v>
      </c>
      <c r="M180" s="352" t="s">
        <v>177</v>
      </c>
      <c r="N180" s="352" t="s">
        <v>176</v>
      </c>
      <c r="O180" s="351" t="s">
        <v>172</v>
      </c>
      <c r="P180" s="353" t="s">
        <v>178</v>
      </c>
      <c r="Q180" s="351" t="s">
        <v>204</v>
      </c>
      <c r="R180" s="352" t="s">
        <v>203</v>
      </c>
      <c r="S180" s="352" t="s">
        <v>243</v>
      </c>
      <c r="T180" s="597" t="str">
        <f>IF(ISBLANK(+'Direct and Indirect Expenses'!$A$9),"Indirect Cost Method",+'Direct and Indirect Expenses'!$A$9)</f>
        <v>Indirect Cost Method</v>
      </c>
      <c r="U180" s="354" t="s">
        <v>23</v>
      </c>
      <c r="V180" s="355" t="s">
        <v>44</v>
      </c>
    </row>
    <row r="181" spans="1:25" ht="20.100000000000001" customHeight="1" x14ac:dyDescent="0.2">
      <c r="A181" s="290" t="s">
        <v>75</v>
      </c>
      <c r="B181" s="283" t="s">
        <v>77</v>
      </c>
      <c r="C181" s="283"/>
      <c r="D181" s="198" t="str">
        <f t="array" ref="D181">IFERROR(INDEX('Crosswalk '!$C$9:$C$94,MATCH(1,($B181='Crosswalk '!$B$9:$B$94)*($E181='Crosswalk '!$G$9:$G$94),0)),"")</f>
        <v/>
      </c>
      <c r="E181" s="291" t="str">
        <f t="array" ref="E181">IFERROR(INDEX('Crosswalk '!$E$106:$E$125,MATCH(1,($A$175='Crosswalk '!$D$106:$D$125)*($C181='Crosswalk '!$F$106:$F$125),0)),"")</f>
        <v/>
      </c>
      <c r="F181" s="485"/>
      <c r="G181" s="292"/>
      <c r="H181" s="159" t="str">
        <f t="array" ref="H181">IFERROR(INDEX('Crosswalk '!$E$9:$E$103,MATCH(1,($B181='Crosswalk '!$B$9:$B$103)*($E181='Crosswalk '!$G$9:$G$103),0)),"")</f>
        <v/>
      </c>
      <c r="I181" s="199">
        <f t="shared" ref="I181:I188" si="85">IFERROR(ROUND(F181*H181,2),0)</f>
        <v>0</v>
      </c>
      <c r="J181" s="126" t="str">
        <f t="shared" ref="J181:J203" si="86">IF(ISTEXT(H181),"",IFERROR(ROUND(I181+G181,2),""))</f>
        <v/>
      </c>
      <c r="K181" s="200">
        <f t="shared" ref="K181:K203" si="87">IF(ISERROR(J181/$J$214),0,ROUND(J181/$J$214,8))</f>
        <v>0</v>
      </c>
      <c r="L181" s="294">
        <f>ROUND(K181*$B$177,0)</f>
        <v>0</v>
      </c>
      <c r="M181" s="294">
        <f t="shared" ref="M181:M203" si="88">IFERROR(ROUND(L181/$L$214*$M$214,0),0)</f>
        <v>0</v>
      </c>
      <c r="N181" s="202">
        <f t="shared" ref="N181:N203" si="89">ROUND(L181+M181,0)</f>
        <v>0</v>
      </c>
      <c r="O181" s="201" t="str">
        <f>IFERROR(ROUND(N181/'Direct Prof Sal &amp; Fringes  '!$L$8,8),"")</f>
        <v/>
      </c>
      <c r="P181" s="202" t="str">
        <f>IF(ISBLANK(O181),"",IFERROR(ROUND(O181*' Indirect Non-prof Sal &amp; Fringe'!$M$42,0),""))</f>
        <v/>
      </c>
      <c r="Q181" s="202" t="str">
        <f>IF(ISBLANK(O181),"",IFERROR(ROUND(O181*'Direct and Indirect Expenses'!$K$20,0),""))</f>
        <v/>
      </c>
      <c r="R181" s="308">
        <f>IFERROR(SUMIF('Direct and Indirect Expenses'!$B$14:$B$34,'Financial Summary &amp; Stats'!B181,'Direct and Indirect Expenses'!$H$14:$H$34)*N181/SUMIF('Financial Summary &amp; Stats'!$B:$B,'Financial Summary &amp; Stats'!B181,'Financial Summary &amp; Stats'!$N:$N),0)</f>
        <v>0</v>
      </c>
      <c r="S181" s="595"/>
      <c r="T181" s="202">
        <f>IFERROR(IF('Direct and Indirect Expenses'!$A$9="Other Indirect Allocation Method",(ROUND((N181+P181)/($N$8+$P$8)*'Direct and Indirect Expenses'!$C$9,0)),ROUND((N181+P181)*'Direct and Indirect Expenses'!$B$9,0)),0)</f>
        <v>0</v>
      </c>
      <c r="U181" s="202">
        <f>IFERROR(ROUND((T181+R181+Q181+P181+N181+S181),0),0)</f>
        <v>0</v>
      </c>
      <c r="V181" s="293" t="str">
        <f>IFERROR(ROUND(U181/F181,2),"")</f>
        <v/>
      </c>
    </row>
    <row r="182" spans="1:25" ht="20.100000000000001" customHeight="1" x14ac:dyDescent="0.2">
      <c r="A182" s="116" t="s">
        <v>70</v>
      </c>
      <c r="B182" s="122" t="s">
        <v>107</v>
      </c>
      <c r="C182" s="122"/>
      <c r="D182" s="123" t="str">
        <f t="array" ref="D182">IFERROR(INDEX('Crosswalk '!$C$9:$C$94,MATCH(1,(B182='Crosswalk '!$B$9:$B$94)*(E182='Crosswalk '!$G$9:$G$94),0)),"")</f>
        <v/>
      </c>
      <c r="E182" s="291" t="str">
        <f t="array" ref="E182">IFERROR(INDEX('Crosswalk '!$E$106:$E$125,MATCH(1,($A$175='Crosswalk '!$D$106:$D$125)*($C182='Crosswalk '!$F$106:$F$125),0)),"")</f>
        <v/>
      </c>
      <c r="F182" s="485"/>
      <c r="G182" s="185"/>
      <c r="H182" s="159" t="str">
        <f t="array" ref="H182">IFERROR(INDEX('Crosswalk '!$E$9:$E$103,MATCH(1,($B182='Crosswalk '!$B$9:$B$103)*($E182='Crosswalk '!$G$9:$G$103),0)),"")</f>
        <v/>
      </c>
      <c r="I182" s="125">
        <f t="shared" si="85"/>
        <v>0</v>
      </c>
      <c r="J182" s="126" t="str">
        <f t="shared" si="86"/>
        <v/>
      </c>
      <c r="K182" s="200">
        <f t="shared" si="87"/>
        <v>0</v>
      </c>
      <c r="L182" s="294">
        <f t="shared" ref="L182:L203" si="90">ROUND(K182*$B$177,0)</f>
        <v>0</v>
      </c>
      <c r="M182" s="294">
        <f t="shared" si="88"/>
        <v>0</v>
      </c>
      <c r="N182" s="186">
        <f t="shared" si="89"/>
        <v>0</v>
      </c>
      <c r="O182" s="201" t="str">
        <f>IFERROR(ROUND(N182/'Direct Prof Sal &amp; Fringes  '!$L$8,8),"")</f>
        <v/>
      </c>
      <c r="P182" s="186" t="str">
        <f>IF(ISBLANK(O182),"",IFERROR(ROUND(O182*' Indirect Non-prof Sal &amp; Fringe'!$M$42,0),""))</f>
        <v/>
      </c>
      <c r="Q182" s="186" t="str">
        <f>IF(ISBLANK(O182),"",IFERROR(ROUND(O182*'Direct and Indirect Expenses'!$K$20,0),""))</f>
        <v/>
      </c>
      <c r="R182" s="309">
        <f>IFERROR(SUMIF('Direct and Indirect Expenses'!$B$14:$B$34,'Financial Summary &amp; Stats'!B182,'Direct and Indirect Expenses'!$H$14:$H$34)*N182/SUMIF('Financial Summary &amp; Stats'!$B:$B,'Financial Summary &amp; Stats'!B182,'Financial Summary &amp; Stats'!$N:$N),0)</f>
        <v>0</v>
      </c>
      <c r="S182" s="595"/>
      <c r="T182" s="202">
        <f>IFERROR(IF('Direct and Indirect Expenses'!$A$9="Other Indirect Allocation Method",(ROUND((N182+P182)/($N$8+$P$8)*'Direct and Indirect Expenses'!$C$9,0)),ROUND((N182+P182)*'Direct and Indirect Expenses'!$B$9,0)),0)</f>
        <v>0</v>
      </c>
      <c r="U182" s="202">
        <f t="shared" ref="U182:U203" si="91">IFERROR(ROUND((T182+R182+Q182+P182+N182),0),0)</f>
        <v>0</v>
      </c>
      <c r="V182" s="293" t="str">
        <f t="shared" ref="V182:V203" si="92">IFERROR(ROUND(U182/F182,2),"")</f>
        <v/>
      </c>
      <c r="Y182" s="128"/>
    </row>
    <row r="183" spans="1:25" ht="20.100000000000001" customHeight="1" x14ac:dyDescent="0.2">
      <c r="A183" s="116" t="s">
        <v>115</v>
      </c>
      <c r="B183" s="122" t="s">
        <v>71</v>
      </c>
      <c r="C183" s="122"/>
      <c r="D183" s="123" t="str">
        <f t="array" ref="D183">IFERROR(INDEX('Crosswalk '!$C$9:$C$94,MATCH(1,(B183='Crosswalk '!$B$9:$B$94)*(E183='Crosswalk '!$G$9:$G$94),0)),"")</f>
        <v/>
      </c>
      <c r="E183" s="291" t="str">
        <f t="array" ref="E183">IFERROR(INDEX('Crosswalk '!$E$106:$E$125,MATCH(1,($A$175='Crosswalk '!$D$106:$D$125)*($C183='Crosswalk '!$F$106:$F$125),0)),"")</f>
        <v/>
      </c>
      <c r="F183" s="485"/>
      <c r="G183" s="185"/>
      <c r="H183" s="159" t="str">
        <f t="array" ref="H183">IFERROR(INDEX('Crosswalk '!$E$9:$E$103,MATCH(1,($B183='Crosswalk '!$B$9:$B$103)*($E183='Crosswalk '!$G$9:$G$103),0)),"")</f>
        <v/>
      </c>
      <c r="I183" s="125">
        <f t="shared" si="85"/>
        <v>0</v>
      </c>
      <c r="J183" s="126" t="str">
        <f t="shared" si="86"/>
        <v/>
      </c>
      <c r="K183" s="200">
        <f t="shared" si="87"/>
        <v>0</v>
      </c>
      <c r="L183" s="294">
        <f t="shared" si="90"/>
        <v>0</v>
      </c>
      <c r="M183" s="294">
        <f t="shared" si="88"/>
        <v>0</v>
      </c>
      <c r="N183" s="186">
        <f t="shared" si="89"/>
        <v>0</v>
      </c>
      <c r="O183" s="201" t="str">
        <f>IFERROR(ROUND(N183/'Direct Prof Sal &amp; Fringes  '!$L$8,8),"")</f>
        <v/>
      </c>
      <c r="P183" s="186" t="str">
        <f>IF(ISBLANK(O183),"",IFERROR(ROUND(O183*' Indirect Non-prof Sal &amp; Fringe'!$M$42,0),""))</f>
        <v/>
      </c>
      <c r="Q183" s="186" t="str">
        <f>IF(ISBLANK(O183),"",IFERROR(ROUND(O183*'Direct and Indirect Expenses'!$K$20,0),""))</f>
        <v/>
      </c>
      <c r="R183" s="309">
        <f>IFERROR(SUMIF('Direct and Indirect Expenses'!$B$14:$B$34,'Financial Summary &amp; Stats'!B183,'Direct and Indirect Expenses'!$H$14:$H$34)*N183/SUMIF('Financial Summary &amp; Stats'!$B:$B,'Financial Summary &amp; Stats'!B183,'Financial Summary &amp; Stats'!$N:$N),0)</f>
        <v>0</v>
      </c>
      <c r="S183" s="595"/>
      <c r="T183" s="202">
        <f>IFERROR(IF('Direct and Indirect Expenses'!$A$9="Other Indirect Allocation Method",(ROUND((N183+P183)/($N$8+$P$8)*'Direct and Indirect Expenses'!$C$9,0)),ROUND((N183+P183)*'Direct and Indirect Expenses'!$B$9,0)),0)</f>
        <v>0</v>
      </c>
      <c r="U183" s="202">
        <f t="shared" si="91"/>
        <v>0</v>
      </c>
      <c r="V183" s="293" t="str">
        <f t="shared" si="92"/>
        <v/>
      </c>
      <c r="Y183" s="128"/>
    </row>
    <row r="184" spans="1:25" ht="20.100000000000001" customHeight="1" x14ac:dyDescent="0.2">
      <c r="A184" s="116" t="s">
        <v>118</v>
      </c>
      <c r="B184" s="122" t="s">
        <v>124</v>
      </c>
      <c r="C184" s="122"/>
      <c r="D184" s="123" t="str">
        <f t="array" ref="D184">IFERROR(INDEX('Crosswalk '!$C$9:$C$94,MATCH(1,(B184='Crosswalk '!$B$9:$B$94)*(E184='Crosswalk '!$G$9:$G$94),0)),"")</f>
        <v/>
      </c>
      <c r="E184" s="291" t="str">
        <f t="array" ref="E184">IFERROR(INDEX('Crosswalk '!$E$106:$E$125,MATCH(1,($A$175='Crosswalk '!$D$106:$D$125)*($C184='Crosswalk '!$F$106:$F$125),0)),"")</f>
        <v/>
      </c>
      <c r="F184" s="485"/>
      <c r="G184" s="185"/>
      <c r="H184" s="159" t="str">
        <f t="array" ref="H184">IFERROR(INDEX('Crosswalk '!$E$9:$E$103,MATCH(1,($B184='Crosswalk '!$B$9:$B$103)*($E184='Crosswalk '!$G$9:$G$103),0)),"")</f>
        <v/>
      </c>
      <c r="I184" s="125">
        <f t="shared" si="85"/>
        <v>0</v>
      </c>
      <c r="J184" s="126" t="str">
        <f t="shared" si="86"/>
        <v/>
      </c>
      <c r="K184" s="200">
        <f t="shared" si="87"/>
        <v>0</v>
      </c>
      <c r="L184" s="294">
        <f t="shared" si="90"/>
        <v>0</v>
      </c>
      <c r="M184" s="294">
        <f t="shared" si="88"/>
        <v>0</v>
      </c>
      <c r="N184" s="186">
        <f t="shared" si="89"/>
        <v>0</v>
      </c>
      <c r="O184" s="201" t="str">
        <f>IFERROR(ROUND(N184/'Direct Prof Sal &amp; Fringes  '!$L$8,8),"")</f>
        <v/>
      </c>
      <c r="P184" s="186" t="str">
        <f>IF(ISBLANK(O184),"",IFERROR(ROUND(O184*' Indirect Non-prof Sal &amp; Fringe'!$M$42,0),""))</f>
        <v/>
      </c>
      <c r="Q184" s="186" t="str">
        <f>IF(ISBLANK(O184),"",IFERROR(ROUND(O184*'Direct and Indirect Expenses'!$K$20,0),""))</f>
        <v/>
      </c>
      <c r="R184" s="309">
        <f>IFERROR(SUMIF('Direct and Indirect Expenses'!$B$14:$B$34,'Financial Summary &amp; Stats'!B184,'Direct and Indirect Expenses'!$H$14:$H$34)*N184/SUMIF('Financial Summary &amp; Stats'!$B:$B,'Financial Summary &amp; Stats'!B184,'Financial Summary &amp; Stats'!$N:$N),0)</f>
        <v>0</v>
      </c>
      <c r="S184" s="595"/>
      <c r="T184" s="202">
        <f>IFERROR(IF('Direct and Indirect Expenses'!$A$9="Other Indirect Allocation Method",(ROUND((N184+P184)/($N$8+$P$8)*'Direct and Indirect Expenses'!$C$9,0)),ROUND((N184+P184)*'Direct and Indirect Expenses'!$B$9,0)),0)</f>
        <v>0</v>
      </c>
      <c r="U184" s="202">
        <f t="shared" si="91"/>
        <v>0</v>
      </c>
      <c r="V184" s="293" t="str">
        <f t="shared" si="92"/>
        <v/>
      </c>
      <c r="Y184" s="128"/>
    </row>
    <row r="185" spans="1:25" ht="20.100000000000001" customHeight="1" x14ac:dyDescent="0.2">
      <c r="A185" s="116" t="s">
        <v>119</v>
      </c>
      <c r="B185" s="132" t="s">
        <v>126</v>
      </c>
      <c r="C185" s="122"/>
      <c r="D185" s="123" t="str">
        <f t="array" ref="D185">IFERROR(INDEX('Crosswalk '!$C$9:$C$94,MATCH(1,(B185='Crosswalk '!$B$9:$B$94)*(E185='Crosswalk '!$G$9:$G$94),0)),"")</f>
        <v/>
      </c>
      <c r="E185" s="291" t="str">
        <f t="array" ref="E185">IFERROR(INDEX('Crosswalk '!$E$106:$E$125,MATCH(1,($A$175='Crosswalk '!$D$106:$D$125)*($C185='Crosswalk '!$F$106:$F$125),0)),"")</f>
        <v/>
      </c>
      <c r="F185" s="485"/>
      <c r="G185" s="185"/>
      <c r="H185" s="159" t="str">
        <f t="array" ref="H185">IFERROR(INDEX('Crosswalk '!$E$9:$E$103,MATCH(1,($B185='Crosswalk '!$B$9:$B$103)*($E185='Crosswalk '!$G$9:$G$103),0)),"")</f>
        <v/>
      </c>
      <c r="I185" s="125">
        <f t="shared" si="85"/>
        <v>0</v>
      </c>
      <c r="J185" s="126" t="str">
        <f t="shared" si="86"/>
        <v/>
      </c>
      <c r="K185" s="200">
        <f t="shared" si="87"/>
        <v>0</v>
      </c>
      <c r="L185" s="294">
        <f t="shared" si="90"/>
        <v>0</v>
      </c>
      <c r="M185" s="294">
        <f t="shared" si="88"/>
        <v>0</v>
      </c>
      <c r="N185" s="186">
        <f t="shared" si="89"/>
        <v>0</v>
      </c>
      <c r="O185" s="201" t="str">
        <f>IFERROR(ROUND(N185/'Direct Prof Sal &amp; Fringes  '!$L$8,8),"")</f>
        <v/>
      </c>
      <c r="P185" s="186" t="str">
        <f>IF(ISBLANK(O185),"",IFERROR(ROUND(O185*' Indirect Non-prof Sal &amp; Fringe'!$M$42,0),""))</f>
        <v/>
      </c>
      <c r="Q185" s="186" t="str">
        <f>IF(ISBLANK(O185),"",IFERROR(ROUND(O185*'Direct and Indirect Expenses'!$K$20,0),""))</f>
        <v/>
      </c>
      <c r="R185" s="309">
        <f>IFERROR(SUMIF('Direct and Indirect Expenses'!$B$14:$B$34,'Financial Summary &amp; Stats'!B185,'Direct and Indirect Expenses'!$H$14:$H$34)*N185/SUMIF('Financial Summary &amp; Stats'!$B:$B,'Financial Summary &amp; Stats'!B185,'Financial Summary &amp; Stats'!$N:$N),0)</f>
        <v>0</v>
      </c>
      <c r="S185" s="595"/>
      <c r="T185" s="202">
        <f>IFERROR(IF('Direct and Indirect Expenses'!$A$9="Other Indirect Allocation Method",(ROUND((N185+P185)/($N$8+$P$8)*'Direct and Indirect Expenses'!$C$9,0)),ROUND((N185+P185)*'Direct and Indirect Expenses'!$B$9,0)),0)</f>
        <v>0</v>
      </c>
      <c r="U185" s="202">
        <f t="shared" si="91"/>
        <v>0</v>
      </c>
      <c r="V185" s="293" t="str">
        <f t="shared" si="92"/>
        <v/>
      </c>
      <c r="W185" s="51"/>
    </row>
    <row r="186" spans="1:25" ht="20.100000000000001" customHeight="1" x14ac:dyDescent="0.2">
      <c r="A186" s="116" t="s">
        <v>80</v>
      </c>
      <c r="B186" s="122" t="s">
        <v>81</v>
      </c>
      <c r="C186" s="122"/>
      <c r="D186" s="123" t="str">
        <f t="array" ref="D186">IFERROR(INDEX('Crosswalk '!$C$9:$C$94,MATCH(1,(B186='Crosswalk '!$B$9:$B$94)*(E186='Crosswalk '!$G$9:$G$94),0)),"")</f>
        <v/>
      </c>
      <c r="E186" s="291" t="str">
        <f t="array" ref="E186">IFERROR(INDEX('Crosswalk '!$E$106:$E$125,MATCH(1,($A$175='Crosswalk '!$D$106:$D$125)*($C186='Crosswalk '!$F$106:$F$125),0)),"")</f>
        <v/>
      </c>
      <c r="F186" s="485"/>
      <c r="G186" s="185"/>
      <c r="H186" s="159" t="str">
        <f t="array" ref="H186">IFERROR(INDEX('Crosswalk '!$E$9:$E$103,MATCH(1,($B186='Crosswalk '!$B$9:$B$103)*($E186='Crosswalk '!$G$9:$G$103),0)),"")</f>
        <v/>
      </c>
      <c r="I186" s="125">
        <f t="shared" si="85"/>
        <v>0</v>
      </c>
      <c r="J186" s="126" t="str">
        <f t="shared" si="86"/>
        <v/>
      </c>
      <c r="K186" s="200">
        <f t="shared" si="87"/>
        <v>0</v>
      </c>
      <c r="L186" s="294">
        <f t="shared" si="90"/>
        <v>0</v>
      </c>
      <c r="M186" s="294">
        <f t="shared" si="88"/>
        <v>0</v>
      </c>
      <c r="N186" s="186">
        <f t="shared" si="89"/>
        <v>0</v>
      </c>
      <c r="O186" s="201" t="str">
        <f>IFERROR(ROUND(N186/'Direct Prof Sal &amp; Fringes  '!$L$8,8),"")</f>
        <v/>
      </c>
      <c r="P186" s="186" t="str">
        <f>IF(ISBLANK(O186),"",IFERROR(ROUND(O186*' Indirect Non-prof Sal &amp; Fringe'!$M$42,0),""))</f>
        <v/>
      </c>
      <c r="Q186" s="186" t="str">
        <f>IF(ISBLANK(O186),"",IFERROR(ROUND(O186*'Direct and Indirect Expenses'!$K$20,0),""))</f>
        <v/>
      </c>
      <c r="R186" s="309">
        <f>IFERROR(SUMIF('Direct and Indirect Expenses'!$B$14:$B$34,'Financial Summary &amp; Stats'!B186,'Direct and Indirect Expenses'!$H$14:$H$34)*N186/SUMIF('Financial Summary &amp; Stats'!$B:$B,'Financial Summary &amp; Stats'!B186,'Financial Summary &amp; Stats'!$N:$N),0)</f>
        <v>0</v>
      </c>
      <c r="S186" s="595"/>
      <c r="T186" s="202">
        <f>IFERROR(IF('Direct and Indirect Expenses'!$A$9="Other Indirect Allocation Method",(ROUND((N186+P186)/($N$8+$P$8)*'Direct and Indirect Expenses'!$C$9,0)),ROUND((N186+P186)*'Direct and Indirect Expenses'!$B$9,0)),0)</f>
        <v>0</v>
      </c>
      <c r="U186" s="202">
        <f t="shared" si="91"/>
        <v>0</v>
      </c>
      <c r="V186" s="293" t="str">
        <f t="shared" si="92"/>
        <v/>
      </c>
      <c r="Y186" s="128"/>
    </row>
    <row r="187" spans="1:25" ht="20.100000000000001" customHeight="1" x14ac:dyDescent="0.2">
      <c r="A187" s="116" t="s">
        <v>111</v>
      </c>
      <c r="B187" s="122">
        <v>90846</v>
      </c>
      <c r="C187" s="122"/>
      <c r="D187" s="123" t="str">
        <f t="array" ref="D187">IFERROR(INDEX('Crosswalk '!$C$9:$C$94,MATCH(1,(B187='Crosswalk '!$B$9:$B$94)*(E187='Crosswalk '!$G$9:$G$94),0)),"")</f>
        <v/>
      </c>
      <c r="E187" s="291" t="str">
        <f t="array" ref="E187">IFERROR(INDEX('Crosswalk '!$E$106:$E$125,MATCH(1,($A$175='Crosswalk '!$D$106:$D$125)*($C187='Crosswalk '!$F$106:$F$125),0)),"")</f>
        <v/>
      </c>
      <c r="F187" s="485"/>
      <c r="G187" s="185"/>
      <c r="H187" s="159" t="str">
        <f t="array" ref="H187">IFERROR(INDEX('Crosswalk '!$E$9:$E$103,MATCH(1,($B187='Crosswalk '!$B$9:$B$103)*($E187='Crosswalk '!$G$9:$G$103),0)),"")</f>
        <v/>
      </c>
      <c r="I187" s="125">
        <f t="shared" si="85"/>
        <v>0</v>
      </c>
      <c r="J187" s="126" t="str">
        <f t="shared" si="86"/>
        <v/>
      </c>
      <c r="K187" s="200">
        <f t="shared" si="87"/>
        <v>0</v>
      </c>
      <c r="L187" s="294">
        <f t="shared" si="90"/>
        <v>0</v>
      </c>
      <c r="M187" s="294">
        <f t="shared" si="88"/>
        <v>0</v>
      </c>
      <c r="N187" s="186">
        <f t="shared" si="89"/>
        <v>0</v>
      </c>
      <c r="O187" s="201" t="str">
        <f>IFERROR(ROUND(N187/'Direct Prof Sal &amp; Fringes  '!$L$8,8),"")</f>
        <v/>
      </c>
      <c r="P187" s="186" t="str">
        <f>IF(ISBLANK(O187),"",IFERROR(ROUND(O187*' Indirect Non-prof Sal &amp; Fringe'!$M$42,0),""))</f>
        <v/>
      </c>
      <c r="Q187" s="186" t="str">
        <f>IF(ISBLANK(O187),"",IFERROR(ROUND(O187*'Direct and Indirect Expenses'!$K$20,0),""))</f>
        <v/>
      </c>
      <c r="R187" s="309">
        <f>IFERROR(SUMIF('Direct and Indirect Expenses'!$B$14:$B$34,'Financial Summary &amp; Stats'!B187,'Direct and Indirect Expenses'!$H$14:$H$34)*N187/SUMIF('Financial Summary &amp; Stats'!$B:$B,'Financial Summary &amp; Stats'!B187,'Financial Summary &amp; Stats'!$N:$N),0)</f>
        <v>0</v>
      </c>
      <c r="S187" s="595"/>
      <c r="T187" s="202">
        <f>IFERROR(IF('Direct and Indirect Expenses'!$A$9="Other Indirect Allocation Method",(ROUND((N187+P187)/($N$8+$P$8)*'Direct and Indirect Expenses'!$C$9,0)),ROUND((N187+P187)*'Direct and Indirect Expenses'!$B$9,0)),0)</f>
        <v>0</v>
      </c>
      <c r="U187" s="202">
        <f t="shared" si="91"/>
        <v>0</v>
      </c>
      <c r="V187" s="293" t="str">
        <f t="shared" si="92"/>
        <v/>
      </c>
      <c r="Y187" s="128"/>
    </row>
    <row r="188" spans="1:25" ht="20.100000000000001" customHeight="1" x14ac:dyDescent="0.2">
      <c r="A188" s="116" t="s">
        <v>112</v>
      </c>
      <c r="B188" s="122">
        <v>90847</v>
      </c>
      <c r="C188" s="122"/>
      <c r="D188" s="123" t="str">
        <f t="array" ref="D188">IFERROR(INDEX('Crosswalk '!$C$9:$C$94,MATCH(1,(B188='Crosswalk '!$B$9:$B$94)*(E188='Crosswalk '!$G$9:$G$94),0)),"")</f>
        <v/>
      </c>
      <c r="E188" s="291" t="str">
        <f t="array" ref="E188">IFERROR(INDEX('Crosswalk '!$E$106:$E$125,MATCH(1,($A$175='Crosswalk '!$D$106:$D$125)*($C188='Crosswalk '!$F$106:$F$125),0)),"")</f>
        <v/>
      </c>
      <c r="F188" s="485"/>
      <c r="G188" s="185"/>
      <c r="H188" s="159" t="str">
        <f t="array" ref="H188">IFERROR(INDEX('Crosswalk '!$E$9:$E$103,MATCH(1,($B188='Crosswalk '!$B$9:$B$103)*($E188='Crosswalk '!$G$9:$G$103),0)),"")</f>
        <v/>
      </c>
      <c r="I188" s="125">
        <f t="shared" si="85"/>
        <v>0</v>
      </c>
      <c r="J188" s="126" t="str">
        <f t="shared" si="86"/>
        <v/>
      </c>
      <c r="K188" s="200">
        <f t="shared" si="87"/>
        <v>0</v>
      </c>
      <c r="L188" s="294">
        <f t="shared" si="90"/>
        <v>0</v>
      </c>
      <c r="M188" s="294">
        <f t="shared" si="88"/>
        <v>0</v>
      </c>
      <c r="N188" s="186">
        <f t="shared" si="89"/>
        <v>0</v>
      </c>
      <c r="O188" s="201" t="str">
        <f>IFERROR(ROUND(N188/'Direct Prof Sal &amp; Fringes  '!$L$8,8),"")</f>
        <v/>
      </c>
      <c r="P188" s="186" t="str">
        <f>IF(ISBLANK(O188),"",IFERROR(ROUND(O188*' Indirect Non-prof Sal &amp; Fringe'!$M$42,0),""))</f>
        <v/>
      </c>
      <c r="Q188" s="186" t="str">
        <f>IF(ISBLANK(O188),"",IFERROR(ROUND(O188*'Direct and Indirect Expenses'!$K$20,0),""))</f>
        <v/>
      </c>
      <c r="R188" s="309">
        <f>IFERROR(SUMIF('Direct and Indirect Expenses'!$B$14:$B$34,'Financial Summary &amp; Stats'!B188,'Direct and Indirect Expenses'!$H$14:$H$34)*N188/SUMIF('Financial Summary &amp; Stats'!$B:$B,'Financial Summary &amp; Stats'!B188,'Financial Summary &amp; Stats'!$N:$N),0)</f>
        <v>0</v>
      </c>
      <c r="S188" s="595"/>
      <c r="T188" s="202">
        <f>IFERROR(IF('Direct and Indirect Expenses'!$A$9="Other Indirect Allocation Method",(ROUND((N188+P188)/($N$8+$P$8)*'Direct and Indirect Expenses'!$C$9,0)),ROUND((N188+P188)*'Direct and Indirect Expenses'!$B$9,0)),0)</f>
        <v>0</v>
      </c>
      <c r="U188" s="202">
        <f t="shared" si="91"/>
        <v>0</v>
      </c>
      <c r="V188" s="293" t="str">
        <f t="shared" si="92"/>
        <v/>
      </c>
      <c r="Y188" s="128"/>
    </row>
    <row r="189" spans="1:25" ht="20.100000000000001" customHeight="1" x14ac:dyDescent="0.2">
      <c r="A189" s="116" t="s">
        <v>72</v>
      </c>
      <c r="B189" s="122">
        <v>90853</v>
      </c>
      <c r="C189" s="122"/>
      <c r="D189" s="123" t="str">
        <f t="array" ref="D189">IFERROR(INDEX('Crosswalk '!$C$9:$C$94,MATCH(1,(B189='Crosswalk '!$B$9:$B$94)*(E189='Crosswalk '!$G$9:$G$94),0)),"")</f>
        <v/>
      </c>
      <c r="E189" s="291" t="str">
        <f t="array" ref="E189">IFERROR(INDEX('Crosswalk '!$E$106:$E$125,MATCH(1,($A$175='Crosswalk '!$D$106:$D$125)*($C189='Crosswalk '!$F$106:$F$125),0)),"")</f>
        <v/>
      </c>
      <c r="F189" s="485"/>
      <c r="G189" s="488"/>
      <c r="H189" s="159" t="str">
        <f t="array" ref="H189">IFERROR(INDEX('Crosswalk '!$E$9:$E$103,MATCH(1,($B189='Crosswalk '!$B$9:$B$103)*($E189='Crosswalk '!$G$9:$G$103),0)),"")</f>
        <v/>
      </c>
      <c r="I189" s="166"/>
      <c r="J189" s="126" t="str">
        <f t="shared" si="86"/>
        <v/>
      </c>
      <c r="K189" s="200">
        <f t="shared" si="87"/>
        <v>0</v>
      </c>
      <c r="L189" s="294">
        <f t="shared" si="90"/>
        <v>0</v>
      </c>
      <c r="M189" s="294">
        <f t="shared" si="88"/>
        <v>0</v>
      </c>
      <c r="N189" s="186">
        <f t="shared" si="89"/>
        <v>0</v>
      </c>
      <c r="O189" s="201" t="str">
        <f>IFERROR(ROUND(N189/'Direct Prof Sal &amp; Fringes  '!$L$8,8),"")</f>
        <v/>
      </c>
      <c r="P189" s="186" t="str">
        <f>IF(ISBLANK(O189),"",IFERROR(ROUND(O189*' Indirect Non-prof Sal &amp; Fringe'!$M$42,0),""))</f>
        <v/>
      </c>
      <c r="Q189" s="186" t="str">
        <f>IF(ISBLANK(O189),"",IFERROR(ROUND(O189*'Direct and Indirect Expenses'!$K$20,0),""))</f>
        <v/>
      </c>
      <c r="R189" s="309">
        <f>IFERROR(SUMIF('Direct and Indirect Expenses'!$B$14:$B$34,'Financial Summary &amp; Stats'!B189,'Direct and Indirect Expenses'!$H$14:$H$34)*N189/SUMIF('Financial Summary &amp; Stats'!$B:$B,'Financial Summary &amp; Stats'!B189,'Financial Summary &amp; Stats'!$N:$N),0)</f>
        <v>0</v>
      </c>
      <c r="S189" s="595"/>
      <c r="T189" s="202">
        <f>IFERROR(IF('Direct and Indirect Expenses'!$A$9="Other Indirect Allocation Method",(ROUND((N189+P189)/($N$8+$P$8)*'Direct and Indirect Expenses'!$C$9,0)),ROUND((N189+P189)*'Direct and Indirect Expenses'!$B$9,0)),0)</f>
        <v>0</v>
      </c>
      <c r="U189" s="202">
        <f t="shared" si="91"/>
        <v>0</v>
      </c>
      <c r="V189" s="293" t="str">
        <f t="shared" si="92"/>
        <v/>
      </c>
      <c r="Y189" s="128"/>
    </row>
    <row r="190" spans="1:25" ht="20.100000000000001" customHeight="1" x14ac:dyDescent="0.2">
      <c r="A190" s="116" t="s">
        <v>127</v>
      </c>
      <c r="B190" s="122">
        <v>90832</v>
      </c>
      <c r="C190" s="122"/>
      <c r="D190" s="123" t="str">
        <f t="array" ref="D190">IFERROR(INDEX('Crosswalk '!$C$9:$C$94,MATCH(1,(B190='Crosswalk '!$B$9:$B$94)*(E190='Crosswalk '!$G$9:$G$94),0)),"")</f>
        <v/>
      </c>
      <c r="E190" s="291" t="str">
        <f t="array" ref="E190">IFERROR(INDEX('Crosswalk '!$E$106:$E$125,MATCH(1,($A$175='Crosswalk '!$D$106:$D$125)*($C190='Crosswalk '!$F$106:$F$125),0)),"")</f>
        <v/>
      </c>
      <c r="F190" s="485"/>
      <c r="G190" s="181"/>
      <c r="H190" s="159" t="str">
        <f t="array" ref="H190">IFERROR(INDEX('Crosswalk '!$E$9:$E$103,MATCH(1,($B190='Crosswalk '!$B$9:$B$103)*($E190='Crosswalk '!$G$9:$G$103),0)),"")</f>
        <v/>
      </c>
      <c r="I190" s="125">
        <f t="shared" ref="I190:I198" si="93">IFERROR(ROUND(F190*H190,2),0)</f>
        <v>0</v>
      </c>
      <c r="J190" s="126" t="str">
        <f t="shared" si="86"/>
        <v/>
      </c>
      <c r="K190" s="200">
        <f t="shared" si="87"/>
        <v>0</v>
      </c>
      <c r="L190" s="294">
        <f t="shared" si="90"/>
        <v>0</v>
      </c>
      <c r="M190" s="294">
        <f t="shared" si="88"/>
        <v>0</v>
      </c>
      <c r="N190" s="186">
        <f t="shared" si="89"/>
        <v>0</v>
      </c>
      <c r="O190" s="201" t="str">
        <f>IFERROR(ROUND(N190/'Direct Prof Sal &amp; Fringes  '!$L$8,8),"")</f>
        <v/>
      </c>
      <c r="P190" s="186" t="str">
        <f>IF(ISBLANK(O190),"",IFERROR(ROUND(O190*' Indirect Non-prof Sal &amp; Fringe'!$M$42,0),""))</f>
        <v/>
      </c>
      <c r="Q190" s="186" t="str">
        <f>IF(ISBLANK(O190),"",IFERROR(ROUND(O190*'Direct and Indirect Expenses'!$K$20,0),""))</f>
        <v/>
      </c>
      <c r="R190" s="309">
        <f>IFERROR(SUMIF('Direct and Indirect Expenses'!$B$14:$B$34,'Financial Summary &amp; Stats'!B190,'Direct and Indirect Expenses'!$H$14:$H$34)*N190/SUMIF('Financial Summary &amp; Stats'!$B:$B,'Financial Summary &amp; Stats'!B190,'Financial Summary &amp; Stats'!$N:$N),0)</f>
        <v>0</v>
      </c>
      <c r="S190" s="595"/>
      <c r="T190" s="202">
        <f>IFERROR(IF('Direct and Indirect Expenses'!$A$9="Other Indirect Allocation Method",(ROUND((N190+P190)/($N$8+$P$8)*'Direct and Indirect Expenses'!$C$9,0)),ROUND((N190+P190)*'Direct and Indirect Expenses'!$B$9,0)),0)</f>
        <v>0</v>
      </c>
      <c r="U190" s="202">
        <f t="shared" si="91"/>
        <v>0</v>
      </c>
      <c r="V190" s="293" t="str">
        <f t="shared" si="92"/>
        <v/>
      </c>
      <c r="Y190" s="128"/>
    </row>
    <row r="191" spans="1:25" ht="20.100000000000001" customHeight="1" x14ac:dyDescent="0.2">
      <c r="A191" s="116" t="s">
        <v>128</v>
      </c>
      <c r="B191" s="122">
        <v>90834</v>
      </c>
      <c r="C191" s="122"/>
      <c r="D191" s="123" t="str">
        <f t="array" ref="D191">IFERROR(INDEX('Crosswalk '!$C$9:$C$94,MATCH(1,(B191='Crosswalk '!$B$9:$B$94)*(E191='Crosswalk '!$G$9:$G$94),0)),"")</f>
        <v/>
      </c>
      <c r="E191" s="291" t="str">
        <f t="array" ref="E191">IFERROR(INDEX('Crosswalk '!$E$106:$E$125,MATCH(1,($A$175='Crosswalk '!$D$106:$D$125)*($C191='Crosswalk '!$F$106:$F$125),0)),"")</f>
        <v/>
      </c>
      <c r="F191" s="485"/>
      <c r="G191" s="181"/>
      <c r="H191" s="159" t="str">
        <f t="array" ref="H191">IFERROR(INDEX('Crosswalk '!$E$9:$E$103,MATCH(1,($B191='Crosswalk '!$B$9:$B$103)*($E191='Crosswalk '!$G$9:$G$103),0)),"")</f>
        <v/>
      </c>
      <c r="I191" s="125">
        <f t="shared" si="93"/>
        <v>0</v>
      </c>
      <c r="J191" s="126" t="str">
        <f t="shared" si="86"/>
        <v/>
      </c>
      <c r="K191" s="200">
        <f t="shared" si="87"/>
        <v>0</v>
      </c>
      <c r="L191" s="294">
        <f t="shared" si="90"/>
        <v>0</v>
      </c>
      <c r="M191" s="294">
        <f t="shared" si="88"/>
        <v>0</v>
      </c>
      <c r="N191" s="186">
        <f t="shared" si="89"/>
        <v>0</v>
      </c>
      <c r="O191" s="201" t="str">
        <f>IFERROR(ROUND(N191/'Direct Prof Sal &amp; Fringes  '!$L$8,8),"")</f>
        <v/>
      </c>
      <c r="P191" s="186" t="str">
        <f>IF(ISBLANK(O191),"",IFERROR(ROUND(O191*' Indirect Non-prof Sal &amp; Fringe'!$M$42,0),""))</f>
        <v/>
      </c>
      <c r="Q191" s="186" t="str">
        <f>IF(ISBLANK(O191),"",IFERROR(ROUND(O191*'Direct and Indirect Expenses'!$K$20,0),""))</f>
        <v/>
      </c>
      <c r="R191" s="309">
        <f>IFERROR(SUMIF('Direct and Indirect Expenses'!$B$14:$B$34,'Financial Summary &amp; Stats'!B191,'Direct and Indirect Expenses'!$H$14:$H$34)*N191/SUMIF('Financial Summary &amp; Stats'!$B:$B,'Financial Summary &amp; Stats'!B191,'Financial Summary &amp; Stats'!$N:$N),0)</f>
        <v>0</v>
      </c>
      <c r="S191" s="595"/>
      <c r="T191" s="202">
        <f>IFERROR(IF('Direct and Indirect Expenses'!$A$9="Other Indirect Allocation Method",(ROUND((N191+P191)/($N$8+$P$8)*'Direct and Indirect Expenses'!$C$9,0)),ROUND((N191+P191)*'Direct and Indirect Expenses'!$B$9,0)),0)</f>
        <v>0</v>
      </c>
      <c r="U191" s="202">
        <f t="shared" si="91"/>
        <v>0</v>
      </c>
      <c r="V191" s="293" t="str">
        <f t="shared" si="92"/>
        <v/>
      </c>
      <c r="Y191" s="128"/>
    </row>
    <row r="192" spans="1:25" ht="20.100000000000001" customHeight="1" x14ac:dyDescent="0.2">
      <c r="A192" s="116" t="s">
        <v>129</v>
      </c>
      <c r="B192" s="122">
        <v>90837</v>
      </c>
      <c r="C192" s="122"/>
      <c r="D192" s="123" t="str">
        <f t="array" ref="D192">IFERROR(INDEX('Crosswalk '!$C$9:$C$94,MATCH(1,(B192='Crosswalk '!$B$9:$B$94)*(E192='Crosswalk '!$G$9:$G$94),0)),"")</f>
        <v/>
      </c>
      <c r="E192" s="291" t="str">
        <f t="array" ref="E192">IFERROR(INDEX('Crosswalk '!$E$106:$E$125,MATCH(1,($A$175='Crosswalk '!$D$106:$D$125)*($C192='Crosswalk '!$F$106:$F$125),0)),"")</f>
        <v/>
      </c>
      <c r="F192" s="485"/>
      <c r="G192" s="181"/>
      <c r="H192" s="159" t="str">
        <f t="array" ref="H192">IFERROR(INDEX('Crosswalk '!$E$9:$E$103,MATCH(1,($B192='Crosswalk '!$B$9:$B$103)*($E192='Crosswalk '!$G$9:$G$103),0)),"")</f>
        <v/>
      </c>
      <c r="I192" s="125">
        <f t="shared" si="93"/>
        <v>0</v>
      </c>
      <c r="J192" s="126" t="str">
        <f t="shared" si="86"/>
        <v/>
      </c>
      <c r="K192" s="200">
        <f t="shared" si="87"/>
        <v>0</v>
      </c>
      <c r="L192" s="294">
        <f t="shared" si="90"/>
        <v>0</v>
      </c>
      <c r="M192" s="294">
        <f t="shared" si="88"/>
        <v>0</v>
      </c>
      <c r="N192" s="186">
        <f t="shared" si="89"/>
        <v>0</v>
      </c>
      <c r="O192" s="201" t="str">
        <f>IFERROR(ROUND(N192/'Direct Prof Sal &amp; Fringes  '!$L$8,8),"")</f>
        <v/>
      </c>
      <c r="P192" s="186" t="str">
        <f>IF(ISBLANK(O192),"",IFERROR(ROUND(O192*' Indirect Non-prof Sal &amp; Fringe'!$M$42,0),""))</f>
        <v/>
      </c>
      <c r="Q192" s="186" t="str">
        <f>IF(ISBLANK(O192),"",IFERROR(ROUND(O192*'Direct and Indirect Expenses'!$K$20,0),""))</f>
        <v/>
      </c>
      <c r="R192" s="309">
        <f>IFERROR(SUMIF('Direct and Indirect Expenses'!$B$14:$B$34,'Financial Summary &amp; Stats'!B192,'Direct and Indirect Expenses'!$H$14:$H$34)*N192/SUMIF('Financial Summary &amp; Stats'!$B:$B,'Financial Summary &amp; Stats'!B192,'Financial Summary &amp; Stats'!$N:$N),0)</f>
        <v>0</v>
      </c>
      <c r="S192" s="595"/>
      <c r="T192" s="202">
        <f>IFERROR(IF('Direct and Indirect Expenses'!$A$9="Other Indirect Allocation Method",(ROUND((N192+P192)/($N$8+$P$8)*'Direct and Indirect Expenses'!$C$9,0)),ROUND((N192+P192)*'Direct and Indirect Expenses'!$B$9,0)),0)</f>
        <v>0</v>
      </c>
      <c r="U192" s="202">
        <f t="shared" si="91"/>
        <v>0</v>
      </c>
      <c r="V192" s="293" t="str">
        <f t="shared" si="92"/>
        <v/>
      </c>
      <c r="Y192" s="128"/>
    </row>
    <row r="193" spans="1:25" ht="20.100000000000001" customHeight="1" x14ac:dyDescent="0.2">
      <c r="A193" s="116" t="s">
        <v>114</v>
      </c>
      <c r="B193" s="122" t="s">
        <v>113</v>
      </c>
      <c r="C193" s="122"/>
      <c r="D193" s="123" t="str">
        <f t="array" ref="D193">IFERROR(INDEX('Crosswalk '!$C$9:$C$94,MATCH(1,(B193='Crosswalk '!$B$9:$B$94)*(E193='Crosswalk '!$G$9:$G$94),0)),"")</f>
        <v/>
      </c>
      <c r="E193" s="291" t="str">
        <f t="array" ref="E193">IFERROR(INDEX('Crosswalk '!$E$106:$E$125,MATCH(1,($A$175='Crosswalk '!$D$106:$D$125)*($C193='Crosswalk '!$F$106:$F$125),0)),"")</f>
        <v/>
      </c>
      <c r="F193" s="485"/>
      <c r="G193" s="181"/>
      <c r="H193" s="159" t="str">
        <f t="array" ref="H193">IFERROR(INDEX('Crosswalk '!$E$9:$E$103,MATCH(1,($B193='Crosswalk '!$B$9:$B$103)*($E193='Crosswalk '!$G$9:$G$103),0)),"")</f>
        <v/>
      </c>
      <c r="I193" s="125">
        <f t="shared" si="93"/>
        <v>0</v>
      </c>
      <c r="J193" s="126" t="str">
        <f t="shared" si="86"/>
        <v/>
      </c>
      <c r="K193" s="200">
        <f t="shared" si="87"/>
        <v>0</v>
      </c>
      <c r="L193" s="294">
        <f t="shared" si="90"/>
        <v>0</v>
      </c>
      <c r="M193" s="294">
        <f t="shared" si="88"/>
        <v>0</v>
      </c>
      <c r="N193" s="186">
        <f t="shared" si="89"/>
        <v>0</v>
      </c>
      <c r="O193" s="201" t="str">
        <f>IFERROR(ROUND(N193/'Direct Prof Sal &amp; Fringes  '!$L$8,8),"")</f>
        <v/>
      </c>
      <c r="P193" s="186" t="str">
        <f>IF(ISBLANK(O193),"",IFERROR(ROUND(O193*' Indirect Non-prof Sal &amp; Fringe'!$M$42,0),""))</f>
        <v/>
      </c>
      <c r="Q193" s="186" t="str">
        <f>IF(ISBLANK(O193),"",IFERROR(ROUND(O193*'Direct and Indirect Expenses'!$K$20,0),""))</f>
        <v/>
      </c>
      <c r="R193" s="309">
        <f>IFERROR(SUMIF('Direct and Indirect Expenses'!$B$14:$B$34,'Financial Summary &amp; Stats'!B193,'Direct and Indirect Expenses'!$H$14:$H$34)*N193/SUMIF('Financial Summary &amp; Stats'!$B:$B,'Financial Summary &amp; Stats'!B193,'Financial Summary &amp; Stats'!$N:$N),0)</f>
        <v>0</v>
      </c>
      <c r="S193" s="595"/>
      <c r="T193" s="202">
        <f>IFERROR(IF('Direct and Indirect Expenses'!$A$9="Other Indirect Allocation Method",(ROUND((N193+P193)/($N$8+$P$8)*'Direct and Indirect Expenses'!$C$9,0)),ROUND((N193+P193)*'Direct and Indirect Expenses'!$B$9,0)),0)</f>
        <v>0</v>
      </c>
      <c r="U193" s="202">
        <f t="shared" si="91"/>
        <v>0</v>
      </c>
      <c r="V193" s="293" t="str">
        <f t="shared" si="92"/>
        <v/>
      </c>
      <c r="Y193" s="128"/>
    </row>
    <row r="194" spans="1:25" ht="20.100000000000001" customHeight="1" x14ac:dyDescent="0.2">
      <c r="A194" s="116" t="s">
        <v>130</v>
      </c>
      <c r="B194" s="122">
        <v>90849</v>
      </c>
      <c r="C194" s="122"/>
      <c r="D194" s="123" t="str">
        <f t="array" ref="D194">IFERROR(INDEX('Crosswalk '!$C$9:$C$94,MATCH(1,(B194='Crosswalk '!$B$9:$B$94)*(E194='Crosswalk '!$G$9:$G$94),0)),"")</f>
        <v/>
      </c>
      <c r="E194" s="291" t="str">
        <f t="array" ref="E194">IFERROR(INDEX('Crosswalk '!$E$106:$E$125,MATCH(1,($A$175='Crosswalk '!$D$106:$D$125)*($C194='Crosswalk '!$F$106:$F$125),0)),"")</f>
        <v/>
      </c>
      <c r="F194" s="485"/>
      <c r="G194" s="181"/>
      <c r="H194" s="159" t="str">
        <f t="array" ref="H194">IFERROR(INDEX('Crosswalk '!$E$9:$E$103,MATCH(1,($B194='Crosswalk '!$B$9:$B$103)*($E194='Crosswalk '!$G$9:$G$103),0)),"")</f>
        <v/>
      </c>
      <c r="I194" s="125">
        <f t="shared" si="93"/>
        <v>0</v>
      </c>
      <c r="J194" s="126" t="str">
        <f t="shared" si="86"/>
        <v/>
      </c>
      <c r="K194" s="200">
        <f t="shared" si="87"/>
        <v>0</v>
      </c>
      <c r="L194" s="294">
        <f t="shared" si="90"/>
        <v>0</v>
      </c>
      <c r="M194" s="294">
        <f t="shared" si="88"/>
        <v>0</v>
      </c>
      <c r="N194" s="186">
        <f t="shared" si="89"/>
        <v>0</v>
      </c>
      <c r="O194" s="201" t="str">
        <f>IFERROR(ROUND(N194/'Direct Prof Sal &amp; Fringes  '!$L$8,8),"")</f>
        <v/>
      </c>
      <c r="P194" s="186" t="str">
        <f>IF(ISBLANK(O194),"",IFERROR(ROUND(O194*' Indirect Non-prof Sal &amp; Fringe'!$M$42,0),""))</f>
        <v/>
      </c>
      <c r="Q194" s="186" t="str">
        <f>IF(ISBLANK(O194),"",IFERROR(ROUND(O194*'Direct and Indirect Expenses'!$K$20,0),""))</f>
        <v/>
      </c>
      <c r="R194" s="309">
        <f>IFERROR(SUMIF('Direct and Indirect Expenses'!$B$14:$B$34,'Financial Summary &amp; Stats'!B194,'Direct and Indirect Expenses'!$H$14:$H$34)*N194/SUMIF('Financial Summary &amp; Stats'!$B:$B,'Financial Summary &amp; Stats'!B194,'Financial Summary &amp; Stats'!$N:$N),0)</f>
        <v>0</v>
      </c>
      <c r="S194" s="595"/>
      <c r="T194" s="202">
        <f>IFERROR(IF('Direct and Indirect Expenses'!$A$9="Other Indirect Allocation Method",(ROUND((N194+P194)/($N$8+$P$8)*'Direct and Indirect Expenses'!$C$9,0)),ROUND((N194+P194)*'Direct and Indirect Expenses'!$B$9,0)),0)</f>
        <v>0</v>
      </c>
      <c r="U194" s="202">
        <f t="shared" si="91"/>
        <v>0</v>
      </c>
      <c r="V194" s="293" t="str">
        <f t="shared" si="92"/>
        <v/>
      </c>
      <c r="Y194" s="128"/>
    </row>
    <row r="195" spans="1:25" ht="20.100000000000001" customHeight="1" x14ac:dyDescent="0.2">
      <c r="A195" s="116" t="s">
        <v>83</v>
      </c>
      <c r="B195" s="122" t="s">
        <v>84</v>
      </c>
      <c r="C195" s="122"/>
      <c r="D195" s="123">
        <f t="array" ref="D195">IFERROR(INDEX('Crosswalk '!$C$9:$C$94,MATCH(1,(B195='Crosswalk '!$B$9:$B$94)*(E195='Crosswalk '!$G$9:$G$94),0)),"")</f>
        <v>0</v>
      </c>
      <c r="E195" s="291" t="str">
        <f t="array" ref="E195">IFERROR(INDEX('Crosswalk '!$E$106:$E$125,MATCH(1,($A$175='Crosswalk '!$D$106:$D$125)*($C195='Crosswalk '!$F$106:$F$125),0)),"")</f>
        <v/>
      </c>
      <c r="F195" s="485"/>
      <c r="G195" s="181"/>
      <c r="H195" s="159">
        <f t="array" ref="H195">IFERROR(INDEX('Crosswalk '!$E$9:$E$103,MATCH(1,($B195='Crosswalk '!$B$9:$B$103)*($E195='Crosswalk '!$G$9:$G$103),0)),"")</f>
        <v>0.25</v>
      </c>
      <c r="I195" s="125">
        <f t="shared" si="93"/>
        <v>0</v>
      </c>
      <c r="J195" s="126">
        <f t="shared" si="86"/>
        <v>0</v>
      </c>
      <c r="K195" s="200">
        <f t="shared" si="87"/>
        <v>0</v>
      </c>
      <c r="L195" s="294">
        <f t="shared" si="90"/>
        <v>0</v>
      </c>
      <c r="M195" s="294">
        <f t="shared" si="88"/>
        <v>0</v>
      </c>
      <c r="N195" s="186">
        <f t="shared" si="89"/>
        <v>0</v>
      </c>
      <c r="O195" s="201" t="str">
        <f>IFERROR(ROUND(N195/'Direct Prof Sal &amp; Fringes  '!$L$8,8),"")</f>
        <v/>
      </c>
      <c r="P195" s="186" t="str">
        <f>IF(ISBLANK(O195),"",IFERROR(ROUND(O195*' Indirect Non-prof Sal &amp; Fringe'!$M$42,0),""))</f>
        <v/>
      </c>
      <c r="Q195" s="186" t="str">
        <f>IF(ISBLANK(O195),"",IFERROR(ROUND(O195*'Direct and Indirect Expenses'!$K$20,0),""))</f>
        <v/>
      </c>
      <c r="R195" s="309">
        <f>IFERROR(SUMIF('Direct and Indirect Expenses'!$B$14:$B$34,'Financial Summary &amp; Stats'!B195,'Direct and Indirect Expenses'!$H$14:$H$34)*N195/SUMIF('Financial Summary &amp; Stats'!$B:$B,'Financial Summary &amp; Stats'!B195,'Financial Summary &amp; Stats'!$N:$N),0)</f>
        <v>0</v>
      </c>
      <c r="S195" s="595"/>
      <c r="T195" s="202">
        <f>IFERROR(IF('Direct and Indirect Expenses'!$A$9="Other Indirect Allocation Method",(ROUND((N195+P195)/($N$8+$P$8)*'Direct and Indirect Expenses'!$C$9,0)),ROUND((N195+P195)*'Direct and Indirect Expenses'!$B$9,0)),0)</f>
        <v>0</v>
      </c>
      <c r="U195" s="202">
        <f t="shared" si="91"/>
        <v>0</v>
      </c>
      <c r="V195" s="293" t="str">
        <f t="shared" si="92"/>
        <v/>
      </c>
      <c r="Y195" s="128"/>
    </row>
    <row r="196" spans="1:25" ht="20.100000000000001" customHeight="1" x14ac:dyDescent="0.2">
      <c r="A196" s="116" t="s">
        <v>132</v>
      </c>
      <c r="B196" s="122">
        <v>90792</v>
      </c>
      <c r="C196" s="122"/>
      <c r="D196" s="123" t="str">
        <f t="array" ref="D196">IFERROR(INDEX('Crosswalk '!$C$9:$C$94,MATCH(1,(B196='Crosswalk '!$B$9:$B$94)*(E196='Crosswalk '!$G$9:$G$94),0)),"")</f>
        <v/>
      </c>
      <c r="E196" s="291" t="str">
        <f t="array" ref="E196">IFERROR(INDEX('Crosswalk '!$E$106:$E$125,MATCH(1,($A$175='Crosswalk '!$D$106:$D$125)*($C196='Crosswalk '!$F$106:$F$125),0)),"")</f>
        <v/>
      </c>
      <c r="F196" s="485"/>
      <c r="G196" s="181"/>
      <c r="H196" s="159" t="str">
        <f t="array" ref="H196">IFERROR(INDEX('Crosswalk '!$E$9:$E$103,MATCH(1,($B196='Crosswalk '!$B$9:$B$103)*($E196='Crosswalk '!$G$9:$G$103),0)),"")</f>
        <v/>
      </c>
      <c r="I196" s="125">
        <f t="shared" si="93"/>
        <v>0</v>
      </c>
      <c r="J196" s="126" t="str">
        <f t="shared" si="86"/>
        <v/>
      </c>
      <c r="K196" s="200">
        <f t="shared" si="87"/>
        <v>0</v>
      </c>
      <c r="L196" s="294">
        <f t="shared" si="90"/>
        <v>0</v>
      </c>
      <c r="M196" s="294">
        <f t="shared" si="88"/>
        <v>0</v>
      </c>
      <c r="N196" s="186">
        <f t="shared" si="89"/>
        <v>0</v>
      </c>
      <c r="O196" s="201" t="str">
        <f>IFERROR(ROUND(N196/'Direct Prof Sal &amp; Fringes  '!$L$8,8),"")</f>
        <v/>
      </c>
      <c r="P196" s="186" t="str">
        <f>IF(ISBLANK(O196),"",IFERROR(ROUND(O196*' Indirect Non-prof Sal &amp; Fringe'!$M$42,0),""))</f>
        <v/>
      </c>
      <c r="Q196" s="186" t="str">
        <f>IF(ISBLANK(O196),"",IFERROR(ROUND(O196*'Direct and Indirect Expenses'!$K$20,0),""))</f>
        <v/>
      </c>
      <c r="R196" s="309">
        <f>IFERROR(SUMIF('Direct and Indirect Expenses'!$B$14:$B$34,'Financial Summary &amp; Stats'!B196,'Direct and Indirect Expenses'!$H$14:$H$34)*N196/SUMIF('Financial Summary &amp; Stats'!$B:$B,'Financial Summary &amp; Stats'!B196,'Financial Summary &amp; Stats'!$N:$N),0)</f>
        <v>0</v>
      </c>
      <c r="S196" s="595"/>
      <c r="T196" s="202">
        <f>IFERROR(IF('Direct and Indirect Expenses'!$A$9="Other Indirect Allocation Method",(ROUND((N196+P196)/($N$8+$P$8)*'Direct and Indirect Expenses'!$C$9,0)),ROUND((N196+P196)*'Direct and Indirect Expenses'!$B$9,0)),0)</f>
        <v>0</v>
      </c>
      <c r="U196" s="202">
        <f t="shared" si="91"/>
        <v>0</v>
      </c>
      <c r="V196" s="293" t="str">
        <f t="shared" si="92"/>
        <v/>
      </c>
      <c r="Y196" s="128"/>
    </row>
    <row r="197" spans="1:25" ht="20.100000000000001" customHeight="1" x14ac:dyDescent="0.2">
      <c r="A197" s="116" t="s">
        <v>131</v>
      </c>
      <c r="B197" s="122">
        <v>90791</v>
      </c>
      <c r="C197" s="122"/>
      <c r="D197" s="123" t="str">
        <f t="array" ref="D197">IFERROR(INDEX('Crosswalk '!$C$9:$C$94,MATCH(1,(B197='Crosswalk '!$B$9:$B$94)*(E197='Crosswalk '!$G$9:$G$94),0)),"")</f>
        <v/>
      </c>
      <c r="E197" s="291" t="str">
        <f t="array" ref="E197">IFERROR(INDEX('Crosswalk '!$E$106:$E$125,MATCH(1,($A$175='Crosswalk '!$D$106:$D$125)*($C197='Crosswalk '!$F$106:$F$125),0)),"")</f>
        <v/>
      </c>
      <c r="F197" s="485"/>
      <c r="G197" s="181"/>
      <c r="H197" s="159" t="str">
        <f t="array" ref="H197">IFERROR(INDEX('Crosswalk '!$E$9:$E$103,MATCH(1,($B197='Crosswalk '!$B$9:$B$103)*($E197='Crosswalk '!$G$9:$G$103),0)),"")</f>
        <v/>
      </c>
      <c r="I197" s="125">
        <f t="shared" si="93"/>
        <v>0</v>
      </c>
      <c r="J197" s="126" t="str">
        <f t="shared" si="86"/>
        <v/>
      </c>
      <c r="K197" s="200">
        <f t="shared" si="87"/>
        <v>0</v>
      </c>
      <c r="L197" s="294">
        <f t="shared" si="90"/>
        <v>0</v>
      </c>
      <c r="M197" s="294">
        <f t="shared" si="88"/>
        <v>0</v>
      </c>
      <c r="N197" s="186">
        <f t="shared" si="89"/>
        <v>0</v>
      </c>
      <c r="O197" s="201" t="str">
        <f>IFERROR(ROUND(N197/'Direct Prof Sal &amp; Fringes  '!$L$8,8),"")</f>
        <v/>
      </c>
      <c r="P197" s="186" t="str">
        <f>IF(ISBLANK(O197),"",IFERROR(ROUND(O197*' Indirect Non-prof Sal &amp; Fringe'!$M$42,0),""))</f>
        <v/>
      </c>
      <c r="Q197" s="186" t="str">
        <f>IF(ISBLANK(O197),"",IFERROR(ROUND(O197*'Direct and Indirect Expenses'!$K$20,0),""))</f>
        <v/>
      </c>
      <c r="R197" s="309">
        <f>IFERROR(SUMIF('Direct and Indirect Expenses'!$B$14:$B$34,'Financial Summary &amp; Stats'!B197,'Direct and Indirect Expenses'!$H$14:$H$34)*N197/SUMIF('Financial Summary &amp; Stats'!$B:$B,'Financial Summary &amp; Stats'!B197,'Financial Summary &amp; Stats'!$N:$N),0)</f>
        <v>0</v>
      </c>
      <c r="S197" s="595"/>
      <c r="T197" s="202">
        <f>IFERROR(IF('Direct and Indirect Expenses'!$A$9="Other Indirect Allocation Method",(ROUND((N197+P197)/($N$8+$P$8)*'Direct and Indirect Expenses'!$C$9,0)),ROUND((N197+P197)*'Direct and Indirect Expenses'!$B$9,0)),0)</f>
        <v>0</v>
      </c>
      <c r="U197" s="202">
        <f t="shared" si="91"/>
        <v>0</v>
      </c>
      <c r="V197" s="293" t="str">
        <f t="shared" si="92"/>
        <v/>
      </c>
      <c r="Y197" s="128"/>
    </row>
    <row r="198" spans="1:25" ht="20.100000000000001" customHeight="1" x14ac:dyDescent="0.2">
      <c r="A198" s="116" t="s">
        <v>116</v>
      </c>
      <c r="B198" s="122" t="s">
        <v>85</v>
      </c>
      <c r="C198" s="122" t="s">
        <v>195</v>
      </c>
      <c r="D198" s="123" t="str">
        <f t="array" ref="D198">IFERROR(INDEX('Crosswalk '!$C$9:$C$94,MATCH(1,(B198='Crosswalk '!$B$9:$B$94)*(E198='Crosswalk '!$G$9:$G$94),0)),"")</f>
        <v/>
      </c>
      <c r="E198" s="291" t="str">
        <f t="array" ref="E198">IFERROR(INDEX('Crosswalk '!$E$106:$E$125,MATCH(1,($A$175='Crosswalk '!$D$106:$D$125)*($C198='Crosswalk '!$F$106:$F$125),0)),"")</f>
        <v/>
      </c>
      <c r="F198" s="485"/>
      <c r="G198" s="181"/>
      <c r="H198" s="159" t="str">
        <f t="array" ref="H198">IFERROR(INDEX('Crosswalk '!$E$9:$E$103,MATCH(1,($B198='Crosswalk '!$B$9:$B$103)*($E198='Crosswalk '!$G$9:$G$103),0)),"")</f>
        <v/>
      </c>
      <c r="I198" s="125">
        <f t="shared" si="93"/>
        <v>0</v>
      </c>
      <c r="J198" s="126" t="str">
        <f t="shared" si="86"/>
        <v/>
      </c>
      <c r="K198" s="200">
        <f t="shared" si="87"/>
        <v>0</v>
      </c>
      <c r="L198" s="294">
        <f t="shared" si="90"/>
        <v>0</v>
      </c>
      <c r="M198" s="294">
        <f t="shared" si="88"/>
        <v>0</v>
      </c>
      <c r="N198" s="186">
        <f t="shared" si="89"/>
        <v>0</v>
      </c>
      <c r="O198" s="201" t="str">
        <f>IFERROR(ROUND(N198/'Direct Prof Sal &amp; Fringes  '!$L$8,8),"")</f>
        <v/>
      </c>
      <c r="P198" s="186" t="str">
        <f>IF(ISBLANK(O198),"",IFERROR(ROUND(O198*' Indirect Non-prof Sal &amp; Fringe'!$M$42,0),""))</f>
        <v/>
      </c>
      <c r="Q198" s="186" t="str">
        <f>IF(ISBLANK(O198),"",IFERROR(ROUND(O198*'Direct and Indirect Expenses'!$K$20,0),""))</f>
        <v/>
      </c>
      <c r="R198" s="309">
        <f>IFERROR(SUMIF('Direct and Indirect Expenses'!$B$14:$B$34,'Financial Summary &amp; Stats'!B198,'Direct and Indirect Expenses'!$H$14:$H$34)*N198/SUMIF('Financial Summary &amp; Stats'!$B:$B,'Financial Summary &amp; Stats'!B198,'Financial Summary &amp; Stats'!$N:$N),0)</f>
        <v>0</v>
      </c>
      <c r="S198" s="595"/>
      <c r="T198" s="202">
        <f>IFERROR(IF('Direct and Indirect Expenses'!$A$9="Other Indirect Allocation Method",(ROUND((N198+P198)/($N$8+$P$8)*'Direct and Indirect Expenses'!$C$9,0)),ROUND((N198+P198)*'Direct and Indirect Expenses'!$B$9,0)),0)</f>
        <v>0</v>
      </c>
      <c r="U198" s="202">
        <f t="shared" si="91"/>
        <v>0</v>
      </c>
      <c r="V198" s="293" t="str">
        <f t="shared" si="92"/>
        <v/>
      </c>
      <c r="Y198" s="128"/>
    </row>
    <row r="199" spans="1:25" ht="20.100000000000001" customHeight="1" x14ac:dyDescent="0.2">
      <c r="A199" s="116" t="s">
        <v>116</v>
      </c>
      <c r="B199" s="122" t="s">
        <v>85</v>
      </c>
      <c r="C199" s="122" t="s">
        <v>196</v>
      </c>
      <c r="D199" s="123" t="str">
        <f t="array" ref="D199">IFERROR(INDEX('Crosswalk '!$C$9:$C$94,MATCH(1,(B199='Crosswalk '!$B$9:$B$94)*(E199='Crosswalk '!$G$9:$G$94),0)),"")</f>
        <v/>
      </c>
      <c r="E199" s="291" t="str">
        <f t="array" ref="E199">IFERROR(INDEX('Crosswalk '!$E$106:$E$125,MATCH(1,($A$175='Crosswalk '!$D$106:$D$125)*($C199='Crosswalk '!$F$106:$F$125),0)),"")</f>
        <v/>
      </c>
      <c r="F199" s="485"/>
      <c r="G199" s="488"/>
      <c r="H199" s="159" t="str">
        <f t="array" ref="H199">IFERROR(INDEX('Crosswalk '!$E$9:$E$103,MATCH(1,($B199='Crosswalk '!$B$9:$B$103)*($E199='Crosswalk '!$G$9:$G$103),0)),"")</f>
        <v/>
      </c>
      <c r="I199" s="166"/>
      <c r="J199" s="126" t="str">
        <f t="shared" si="86"/>
        <v/>
      </c>
      <c r="K199" s="200">
        <f t="shared" si="87"/>
        <v>0</v>
      </c>
      <c r="L199" s="294">
        <f t="shared" si="90"/>
        <v>0</v>
      </c>
      <c r="M199" s="294">
        <f t="shared" si="88"/>
        <v>0</v>
      </c>
      <c r="N199" s="186">
        <f t="shared" si="89"/>
        <v>0</v>
      </c>
      <c r="O199" s="201" t="str">
        <f>IFERROR(ROUND(N199/'Direct Prof Sal &amp; Fringes  '!$L$8,8),"")</f>
        <v/>
      </c>
      <c r="P199" s="186" t="str">
        <f>IF(ISBLANK(O199),"",IFERROR(ROUND(O199*' Indirect Non-prof Sal &amp; Fringe'!$M$42,0),""))</f>
        <v/>
      </c>
      <c r="Q199" s="186" t="str">
        <f>IF(ISBLANK(O199),"",IFERROR(ROUND(O199*'Direct and Indirect Expenses'!$K$20,0),""))</f>
        <v/>
      </c>
      <c r="R199" s="309">
        <f>IFERROR(SUMIF('Direct and Indirect Expenses'!$B$14:$B$34,'Financial Summary &amp; Stats'!B199,'Direct and Indirect Expenses'!$H$14:$H$34)*N199/SUMIF('Financial Summary &amp; Stats'!$B:$B,'Financial Summary &amp; Stats'!B199,'Financial Summary &amp; Stats'!$N:$N),0)</f>
        <v>0</v>
      </c>
      <c r="S199" s="595"/>
      <c r="T199" s="202">
        <f>IFERROR(IF('Direct and Indirect Expenses'!$A$9="Other Indirect Allocation Method",(ROUND((N199+P199)/($N$8+$P$8)*'Direct and Indirect Expenses'!$C$9,0)),ROUND((N199+P199)*'Direct and Indirect Expenses'!$B$9,0)),0)</f>
        <v>0</v>
      </c>
      <c r="U199" s="202">
        <f t="shared" si="91"/>
        <v>0</v>
      </c>
      <c r="V199" s="293" t="str">
        <f t="shared" si="92"/>
        <v/>
      </c>
      <c r="Y199" s="128"/>
    </row>
    <row r="200" spans="1:25" ht="20.100000000000001" customHeight="1" x14ac:dyDescent="0.2">
      <c r="A200" s="116" t="s">
        <v>116</v>
      </c>
      <c r="B200" s="122" t="s">
        <v>85</v>
      </c>
      <c r="C200" s="122"/>
      <c r="D200" s="123" t="str">
        <f t="array" ref="D200">IFERROR(INDEX('Crosswalk '!$C$9:$C$94,MATCH(1,(B200='Crosswalk '!$B$9:$B$94)*(E200='Crosswalk '!$G$9:$G$94),0)),"")</f>
        <v/>
      </c>
      <c r="E200" s="291" t="str">
        <f t="array" ref="E200">IFERROR(INDEX('Crosswalk '!$E$106:$E$125,MATCH(1,($A$175='Crosswalk '!$D$106:$D$125)*($C200='Crosswalk '!$F$106:$F$125),0)),"")</f>
        <v/>
      </c>
      <c r="F200" s="485"/>
      <c r="G200" s="488"/>
      <c r="H200" s="159" t="str">
        <f t="array" ref="H200">IFERROR(INDEX('Crosswalk '!$E$9:$E$103,MATCH(1,($B200='Crosswalk '!$B$9:$B$103)*($E200='Crosswalk '!$G$9:$G$103),0)),"")</f>
        <v/>
      </c>
      <c r="I200" s="166"/>
      <c r="J200" s="126" t="str">
        <f t="shared" si="86"/>
        <v/>
      </c>
      <c r="K200" s="200">
        <f t="shared" si="87"/>
        <v>0</v>
      </c>
      <c r="L200" s="294">
        <f t="shared" si="90"/>
        <v>0</v>
      </c>
      <c r="M200" s="294">
        <f t="shared" si="88"/>
        <v>0</v>
      </c>
      <c r="N200" s="186">
        <f t="shared" si="89"/>
        <v>0</v>
      </c>
      <c r="O200" s="201" t="str">
        <f>IFERROR(ROUND(N200/'Direct Prof Sal &amp; Fringes  '!$L$8,8),"")</f>
        <v/>
      </c>
      <c r="P200" s="186" t="str">
        <f>IF(ISBLANK(O200),"",IFERROR(ROUND(O200*' Indirect Non-prof Sal &amp; Fringe'!$M$42,0),""))</f>
        <v/>
      </c>
      <c r="Q200" s="186" t="str">
        <f>IF(ISBLANK(O200),"",IFERROR(ROUND(O200*'Direct and Indirect Expenses'!$K$20,0),""))</f>
        <v/>
      </c>
      <c r="R200" s="309">
        <f>IFERROR(SUMIF('Direct and Indirect Expenses'!$B$14:$B$34,'Financial Summary &amp; Stats'!B200,'Direct and Indirect Expenses'!$H$14:$H$34)*N200/SUMIF('Financial Summary &amp; Stats'!$B:$B,'Financial Summary &amp; Stats'!B200,'Financial Summary &amp; Stats'!$N:$N),0)</f>
        <v>0</v>
      </c>
      <c r="S200" s="595"/>
      <c r="T200" s="202">
        <f>IFERROR(IF('Direct and Indirect Expenses'!$A$9="Other Indirect Allocation Method",(ROUND((N200+P200)/($N$8+$P$8)*'Direct and Indirect Expenses'!$C$9,0)),ROUND((N200+P200)*'Direct and Indirect Expenses'!$B$9,0)),0)</f>
        <v>0</v>
      </c>
      <c r="U200" s="202">
        <f t="shared" si="91"/>
        <v>0</v>
      </c>
      <c r="V200" s="293" t="str">
        <f t="shared" si="92"/>
        <v/>
      </c>
      <c r="Y200" s="128"/>
    </row>
    <row r="201" spans="1:25" ht="20.100000000000001" customHeight="1" x14ac:dyDescent="0.2">
      <c r="A201" s="116" t="s">
        <v>110</v>
      </c>
      <c r="B201" s="122" t="s">
        <v>73</v>
      </c>
      <c r="C201" s="122"/>
      <c r="D201" s="123" t="str">
        <f t="array" ref="D201">IFERROR(INDEX('Crosswalk '!$C$9:$C$94,MATCH(1,(B201='Crosswalk '!$B$9:$B$94)*(E201='Crosswalk '!$G$9:$G$94),0)),"")</f>
        <v/>
      </c>
      <c r="E201" s="291" t="str">
        <f t="array" ref="E201">IFERROR(INDEX('Crosswalk '!$E$106:$E$125,MATCH(1,($A$175='Crosswalk '!$D$106:$D$125)*($C201='Crosswalk '!$F$106:$F$125),0)),"")</f>
        <v/>
      </c>
      <c r="F201" s="485"/>
      <c r="G201" s="181"/>
      <c r="H201" s="159" t="str">
        <f t="array" ref="H201">IFERROR(INDEX('Crosswalk '!$E$9:$E$103,MATCH(1,($B201='Crosswalk '!$B$9:$B$103)*($E201='Crosswalk '!$G$9:$G$103),0)),"")</f>
        <v/>
      </c>
      <c r="I201" s="125">
        <f t="shared" ref="I201:I203" si="94">IFERROR(ROUND(F201*H201,2),0)</f>
        <v>0</v>
      </c>
      <c r="J201" s="126" t="str">
        <f t="shared" si="86"/>
        <v/>
      </c>
      <c r="K201" s="200">
        <f t="shared" si="87"/>
        <v>0</v>
      </c>
      <c r="L201" s="294">
        <f t="shared" si="90"/>
        <v>0</v>
      </c>
      <c r="M201" s="294">
        <f t="shared" si="88"/>
        <v>0</v>
      </c>
      <c r="N201" s="186">
        <f t="shared" si="89"/>
        <v>0</v>
      </c>
      <c r="O201" s="201" t="str">
        <f>IFERROR(ROUND(N201/'Direct Prof Sal &amp; Fringes  '!$L$8,8),"")</f>
        <v/>
      </c>
      <c r="P201" s="186" t="str">
        <f>IF(ISBLANK(O201),"",IFERROR(ROUND(O201*' Indirect Non-prof Sal &amp; Fringe'!$M$42,0),""))</f>
        <v/>
      </c>
      <c r="Q201" s="186" t="str">
        <f>IF(ISBLANK(O201),"",IFERROR(ROUND(O201*'Direct and Indirect Expenses'!$K$20,0),""))</f>
        <v/>
      </c>
      <c r="R201" s="309">
        <f>IFERROR(SUMIF('Direct and Indirect Expenses'!$B$14:$B$34,'Financial Summary &amp; Stats'!B201,'Direct and Indirect Expenses'!$H$14:$H$34)*N201/SUMIF('Financial Summary &amp; Stats'!$B:$B,'Financial Summary &amp; Stats'!B201,'Financial Summary &amp; Stats'!$N:$N),0)</f>
        <v>0</v>
      </c>
      <c r="S201" s="595"/>
      <c r="T201" s="202">
        <f>IFERROR(IF('Direct and Indirect Expenses'!$A$9="Other Indirect Allocation Method",(ROUND((N201+P201)/($N$8+$P$8)*'Direct and Indirect Expenses'!$C$9,0)),ROUND((N201+P201)*'Direct and Indirect Expenses'!$B$9,0)),0)</f>
        <v>0</v>
      </c>
      <c r="U201" s="202">
        <f t="shared" si="91"/>
        <v>0</v>
      </c>
      <c r="V201" s="293" t="str">
        <f t="shared" si="92"/>
        <v/>
      </c>
      <c r="Y201" s="128"/>
    </row>
    <row r="202" spans="1:25" ht="20.100000000000001" customHeight="1" x14ac:dyDescent="0.2">
      <c r="A202" s="116" t="s">
        <v>109</v>
      </c>
      <c r="B202" s="122">
        <v>99367</v>
      </c>
      <c r="C202" s="122"/>
      <c r="D202" s="123">
        <f t="array" ref="D202">IFERROR(INDEX('Crosswalk '!$C$9:$C$94,MATCH(1,(B202='Crosswalk '!$B$9:$B$94)*(E202='Crosswalk '!$G$9:$G$94),0)),"")</f>
        <v>0</v>
      </c>
      <c r="E202" s="159" t="s">
        <v>142</v>
      </c>
      <c r="F202" s="485"/>
      <c r="G202" s="181"/>
      <c r="H202" s="159">
        <f t="array" ref="H202">IFERROR(INDEX('Crosswalk '!$E$9:$E$103,MATCH(1,($B202='Crosswalk '!$B$9:$B$103)*($E202='Crosswalk '!$G$9:$G$103),0)),"")</f>
        <v>0.5</v>
      </c>
      <c r="I202" s="125">
        <f t="shared" si="94"/>
        <v>0</v>
      </c>
      <c r="J202" s="126">
        <f t="shared" si="86"/>
        <v>0</v>
      </c>
      <c r="K202" s="200">
        <f t="shared" si="87"/>
        <v>0</v>
      </c>
      <c r="L202" s="294">
        <f t="shared" si="90"/>
        <v>0</v>
      </c>
      <c r="M202" s="294">
        <f t="shared" si="88"/>
        <v>0</v>
      </c>
      <c r="N202" s="186">
        <f t="shared" si="89"/>
        <v>0</v>
      </c>
      <c r="O202" s="201" t="str">
        <f>IFERROR(ROUND(N202/'Direct Prof Sal &amp; Fringes  '!$L$8,8),"")</f>
        <v/>
      </c>
      <c r="P202" s="186" t="str">
        <f>IF(ISBLANK(O202),"",IFERROR(ROUND(O202*' Indirect Non-prof Sal &amp; Fringe'!$M$42,0),""))</f>
        <v/>
      </c>
      <c r="Q202" s="186" t="str">
        <f>IF(ISBLANK(O202),"",IFERROR(ROUND(O202*'Direct and Indirect Expenses'!$K$20,0),""))</f>
        <v/>
      </c>
      <c r="R202" s="309">
        <f>IFERROR(SUMIF('Direct and Indirect Expenses'!$B$14:$B$34,'Financial Summary &amp; Stats'!B202,'Direct and Indirect Expenses'!$H$14:$H$34)*N202/SUMIF('Financial Summary &amp; Stats'!$B:$B,'Financial Summary &amp; Stats'!B202,'Financial Summary &amp; Stats'!$N:$N),0)</f>
        <v>0</v>
      </c>
      <c r="S202" s="595"/>
      <c r="T202" s="202">
        <f>IFERROR(IF('Direct and Indirect Expenses'!$A$9="Other Indirect Allocation Method",(ROUND((N202+P202)/($N$8+$P$8)*'Direct and Indirect Expenses'!$C$9,0)),ROUND((N202+P202)*'Direct and Indirect Expenses'!$B$9,0)),0)</f>
        <v>0</v>
      </c>
      <c r="U202" s="202">
        <f t="shared" si="91"/>
        <v>0</v>
      </c>
      <c r="V202" s="293" t="str">
        <f t="shared" si="92"/>
        <v/>
      </c>
      <c r="Y202" s="128"/>
    </row>
    <row r="203" spans="1:25" ht="20.100000000000001" customHeight="1" x14ac:dyDescent="0.2">
      <c r="A203" s="116" t="s">
        <v>108</v>
      </c>
      <c r="B203" s="122">
        <v>99366</v>
      </c>
      <c r="C203" s="122"/>
      <c r="D203" s="123">
        <f t="array" ref="D203">IFERROR(INDEX('Crosswalk '!$C$9:$C$94,MATCH(1,(B203='Crosswalk '!$B$9:$B$94)*(E203='Crosswalk '!$G$9:$G$94),0)),"")</f>
        <v>0</v>
      </c>
      <c r="E203" s="159" t="s">
        <v>142</v>
      </c>
      <c r="F203" s="485"/>
      <c r="G203" s="181"/>
      <c r="H203" s="159">
        <f t="array" ref="H203">IFERROR(INDEX('Crosswalk '!$E$9:$E$103,MATCH(1,($B203='Crosswalk '!$B$9:$B$103)*($E203='Crosswalk '!$G$9:$G$103),0)),"")</f>
        <v>0.5</v>
      </c>
      <c r="I203" s="125">
        <f t="shared" si="94"/>
        <v>0</v>
      </c>
      <c r="J203" s="126">
        <f t="shared" si="86"/>
        <v>0</v>
      </c>
      <c r="K203" s="200">
        <f t="shared" si="87"/>
        <v>0</v>
      </c>
      <c r="L203" s="294">
        <f t="shared" si="90"/>
        <v>0</v>
      </c>
      <c r="M203" s="294">
        <f t="shared" si="88"/>
        <v>0</v>
      </c>
      <c r="N203" s="186">
        <f t="shared" si="89"/>
        <v>0</v>
      </c>
      <c r="O203" s="201" t="str">
        <f>IFERROR(ROUND(N203/'Direct Prof Sal &amp; Fringes  '!$L$8,8),"")</f>
        <v/>
      </c>
      <c r="P203" s="186" t="str">
        <f>IF(ISBLANK(O203),"",IFERROR(ROUND(O203*' Indirect Non-prof Sal &amp; Fringe'!$M$42,0),""))</f>
        <v/>
      </c>
      <c r="Q203" s="186" t="str">
        <f>IF(ISBLANK(O203),"",IFERROR(ROUND(O203*'Direct and Indirect Expenses'!$K$20,0),""))</f>
        <v/>
      </c>
      <c r="R203" s="309">
        <f>IFERROR(SUMIF('Direct and Indirect Expenses'!$B$14:$B$34,'Financial Summary &amp; Stats'!B203,'Direct and Indirect Expenses'!$H$14:$H$34)*N203/SUMIF('Financial Summary &amp; Stats'!$B:$B,'Financial Summary &amp; Stats'!B203,'Financial Summary &amp; Stats'!$N:$N),0)</f>
        <v>0</v>
      </c>
      <c r="S203" s="595"/>
      <c r="T203" s="202">
        <f>IFERROR(IF('Direct and Indirect Expenses'!$A$9="Other Indirect Allocation Method",(ROUND((N203+P203)/($N$8+$P$8)*'Direct and Indirect Expenses'!$C$9,0)),ROUND((N203+P203)*'Direct and Indirect Expenses'!$B$9,0)),0)</f>
        <v>0</v>
      </c>
      <c r="U203" s="202">
        <f t="shared" si="91"/>
        <v>0</v>
      </c>
      <c r="V203" s="293" t="str">
        <f t="shared" si="92"/>
        <v/>
      </c>
      <c r="Y203" s="128"/>
    </row>
    <row r="204" spans="1:25" ht="20.100000000000001" customHeight="1" x14ac:dyDescent="0.2">
      <c r="A204" s="171"/>
      <c r="B204" s="172"/>
      <c r="C204" s="172"/>
      <c r="D204" s="173"/>
      <c r="E204" s="173"/>
      <c r="F204" s="174"/>
      <c r="G204" s="179"/>
      <c r="H204" s="175"/>
      <c r="I204" s="176"/>
      <c r="J204" s="176"/>
      <c r="K204" s="178"/>
      <c r="L204" s="296"/>
      <c r="M204" s="296"/>
      <c r="N204" s="302"/>
      <c r="O204" s="177"/>
      <c r="P204" s="177"/>
      <c r="Q204" s="177"/>
      <c r="R204" s="302"/>
      <c r="S204" s="302"/>
      <c r="T204" s="193"/>
      <c r="U204" s="193"/>
      <c r="V204" s="191"/>
      <c r="Y204" s="128"/>
    </row>
    <row r="205" spans="1:25" ht="20.100000000000001" customHeight="1" x14ac:dyDescent="0.2">
      <c r="A205" s="171"/>
      <c r="B205" s="172"/>
      <c r="C205" s="172"/>
      <c r="D205" s="173"/>
      <c r="E205" s="173"/>
      <c r="F205" s="174"/>
      <c r="G205" s="179"/>
      <c r="H205" s="175"/>
      <c r="I205" s="176"/>
      <c r="J205" s="176"/>
      <c r="K205" s="178"/>
      <c r="L205" s="296"/>
      <c r="M205" s="296"/>
      <c r="N205" s="302"/>
      <c r="O205" s="177"/>
      <c r="P205" s="177"/>
      <c r="Q205" s="177"/>
      <c r="R205" s="302"/>
      <c r="S205" s="302"/>
      <c r="T205" s="193"/>
      <c r="U205" s="193"/>
      <c r="V205" s="191"/>
      <c r="Y205" s="128"/>
    </row>
    <row r="206" spans="1:25" ht="20.100000000000001" customHeight="1" x14ac:dyDescent="0.25">
      <c r="A206" s="289" t="s">
        <v>101</v>
      </c>
      <c r="B206" s="122"/>
      <c r="C206" s="122"/>
      <c r="D206" s="123"/>
      <c r="E206" s="123"/>
      <c r="F206" s="130"/>
      <c r="G206" s="180"/>
      <c r="H206" s="159"/>
      <c r="I206" s="125"/>
      <c r="J206" s="126"/>
      <c r="K206" s="127"/>
      <c r="L206" s="295"/>
      <c r="M206" s="295"/>
      <c r="N206" s="186"/>
      <c r="O206" s="121"/>
      <c r="P206" s="121"/>
      <c r="Q206" s="186"/>
      <c r="R206" s="186"/>
      <c r="S206" s="186"/>
      <c r="T206" s="186"/>
      <c r="U206" s="186"/>
      <c r="V206" s="293"/>
      <c r="Y206" s="128"/>
    </row>
    <row r="207" spans="1:25" ht="20.100000000000001" customHeight="1" x14ac:dyDescent="0.2">
      <c r="A207" s="129" t="s">
        <v>117</v>
      </c>
      <c r="B207" s="131">
        <v>96101</v>
      </c>
      <c r="C207" s="131"/>
      <c r="D207" s="123" t="str">
        <f t="array" ref="D207">IFERROR(INDEX('Crosswalk '!$C$9:$C$94,MATCH(1,(B207='Crosswalk '!$B$9:$B$94)*(E207='Crosswalk '!$G$9:$G$94),0)),"")</f>
        <v/>
      </c>
      <c r="E207" s="291" t="str">
        <f t="array" ref="E207">IFERROR(INDEX('Crosswalk '!$E$106:$E$125,MATCH(1,($A$175='Crosswalk '!$D$106:$D$125)*($C207='Crosswalk '!$F$106:$F$125),0)),"")</f>
        <v/>
      </c>
      <c r="F207" s="485"/>
      <c r="G207" s="181"/>
      <c r="H207" s="159" t="str">
        <f t="array" ref="H207">IFERROR(INDEX('Crosswalk '!$E$9:$E$103,MATCH(1,($B207='Crosswalk '!$B$9:$B$103)*($E207='Crosswalk '!$G$9:$G$103),0)),"")</f>
        <v/>
      </c>
      <c r="I207" s="125">
        <f t="shared" ref="I207:I209" si="95">IFERROR(ROUND(F207*H207,2),0)</f>
        <v>0</v>
      </c>
      <c r="J207" s="126" t="str">
        <f t="shared" ref="J207:J209" si="96">IF(ISTEXT(H207),"",IFERROR(ROUND(I207+G207,2),""))</f>
        <v/>
      </c>
      <c r="K207" s="200">
        <f t="shared" ref="K207:K209" si="97">IF(ISERROR(J207/$J$214),0,ROUND(J207/$J$214,8))</f>
        <v>0</v>
      </c>
      <c r="L207" s="294">
        <f t="shared" ref="L207:L209" si="98">ROUND(K207*$B$177,0)</f>
        <v>0</v>
      </c>
      <c r="M207" s="294">
        <f t="shared" ref="M207:M209" si="99">IFERROR(ROUND(L207/$L$214*$M$214,0),0)</f>
        <v>0</v>
      </c>
      <c r="N207" s="186">
        <f t="shared" ref="N207:N209" si="100">ROUND(L207+M207,0)</f>
        <v>0</v>
      </c>
      <c r="O207" s="201" t="str">
        <f>IFERROR(ROUND(N207/'Direct Prof Sal &amp; Fringes  '!$L$8,8),"")</f>
        <v/>
      </c>
      <c r="P207" s="186" t="str">
        <f>IF(ISBLANK(O207),"",IFERROR(ROUND(O207*' Indirect Non-prof Sal &amp; Fringe'!$M$42,0),""))</f>
        <v/>
      </c>
      <c r="Q207" s="186" t="str">
        <f>IF(ISBLANK(O207),"",IFERROR(ROUND(O207*'Direct and Indirect Expenses'!$K$20,0),""))</f>
        <v/>
      </c>
      <c r="R207" s="309">
        <f>IFERROR(SUMIF('Direct and Indirect Expenses'!$B$14:$B$34,'Financial Summary &amp; Stats'!B207,'Direct and Indirect Expenses'!$H$14:$H$34)*N207/SUMIF('Financial Summary &amp; Stats'!$B:$B,'Financial Summary &amp; Stats'!B207,'Financial Summary &amp; Stats'!$N:$N),0)</f>
        <v>0</v>
      </c>
      <c r="S207" s="595"/>
      <c r="T207" s="202">
        <f>IFERROR(IF('Direct and Indirect Expenses'!$A$9="Other Indirect Allocation Method",(ROUND((N207+P207)/($N$8+$P$8)*'Direct and Indirect Expenses'!$C$9,0)),ROUND((N207+P207)*'Direct and Indirect Expenses'!$B$9,0)),0)</f>
        <v>0</v>
      </c>
      <c r="U207" s="202">
        <f t="shared" ref="U207:U209" si="101">IFERROR(ROUND((T207+R207+Q207+P207+N207),0),0)</f>
        <v>0</v>
      </c>
      <c r="V207" s="293" t="str">
        <f t="shared" ref="V207:V209" si="102">IFERROR(ROUND(U207/F207,2),"")</f>
        <v/>
      </c>
      <c r="Y207" s="128"/>
    </row>
    <row r="208" spans="1:25" ht="20.100000000000001" customHeight="1" x14ac:dyDescent="0.2">
      <c r="A208" s="129" t="s">
        <v>122</v>
      </c>
      <c r="B208" s="132" t="s">
        <v>120</v>
      </c>
      <c r="C208" s="132"/>
      <c r="D208" s="123" t="str">
        <f t="array" ref="D208">IFERROR(INDEX('Crosswalk '!$C$9:$C$94,MATCH(1,(B208='Crosswalk '!$B$9:$B$94)*(E208='Crosswalk '!$G$9:$G$94),0)),"")</f>
        <v/>
      </c>
      <c r="E208" s="291"/>
      <c r="F208" s="485"/>
      <c r="G208" s="181"/>
      <c r="H208" s="159">
        <f t="array" ref="H208">IFERROR(INDEX('Crosswalk '!$E$9:$E$103,MATCH(1,($B208='Crosswalk '!$B$9:$B$103)*($E208='Crosswalk '!$G$9:$G$103),0)),"")</f>
        <v>0.25</v>
      </c>
      <c r="I208" s="125">
        <f t="shared" si="95"/>
        <v>0</v>
      </c>
      <c r="J208" s="126">
        <f t="shared" si="96"/>
        <v>0</v>
      </c>
      <c r="K208" s="200">
        <f t="shared" si="97"/>
        <v>0</v>
      </c>
      <c r="L208" s="294">
        <f t="shared" si="98"/>
        <v>0</v>
      </c>
      <c r="M208" s="294">
        <f t="shared" si="99"/>
        <v>0</v>
      </c>
      <c r="N208" s="186">
        <f t="shared" si="100"/>
        <v>0</v>
      </c>
      <c r="O208" s="201" t="str">
        <f>IFERROR(ROUND(N208/'Direct Prof Sal &amp; Fringes  '!$L$8,8),"")</f>
        <v/>
      </c>
      <c r="P208" s="186" t="str">
        <f>IF(ISBLANK(O208),"",IFERROR(ROUND(O208*' Indirect Non-prof Sal &amp; Fringe'!$M$42,0),""))</f>
        <v/>
      </c>
      <c r="Q208" s="186" t="str">
        <f>IF(ISBLANK(O208),"",IFERROR(ROUND(O208*'Direct and Indirect Expenses'!$K$20,0),""))</f>
        <v/>
      </c>
      <c r="R208" s="309">
        <f>IFERROR(SUMIF('Direct and Indirect Expenses'!$B$14:$B$34,'Financial Summary &amp; Stats'!B208,'Direct and Indirect Expenses'!$H$14:$H$34)*N208/SUMIF('Financial Summary &amp; Stats'!$B:$B,'Financial Summary &amp; Stats'!B208,'Financial Summary &amp; Stats'!$N:$N),0)</f>
        <v>0</v>
      </c>
      <c r="S208" s="595"/>
      <c r="T208" s="202">
        <f>IFERROR(IF('Direct and Indirect Expenses'!$A$9="Other Indirect Allocation Method",(ROUND((N208+P208)/($N$8+$P$8)*'Direct and Indirect Expenses'!$C$9,0)),ROUND((N208+P208)*'Direct and Indirect Expenses'!$B$9,0)),0)</f>
        <v>0</v>
      </c>
      <c r="U208" s="202">
        <f t="shared" si="101"/>
        <v>0</v>
      </c>
      <c r="V208" s="293" t="str">
        <f t="shared" si="102"/>
        <v/>
      </c>
      <c r="Y208" s="128"/>
    </row>
    <row r="209" spans="1:25" ht="20.100000000000001" customHeight="1" x14ac:dyDescent="0.2">
      <c r="A209" s="129" t="s">
        <v>123</v>
      </c>
      <c r="B209" s="132" t="s">
        <v>121</v>
      </c>
      <c r="C209" s="132"/>
      <c r="D209" s="123" t="str">
        <f t="array" ref="D209">IFERROR(INDEX('Crosswalk '!$C$9:$C$94,MATCH(1,(B209='Crosswalk '!$B$9:$B$94)*(E209='Crosswalk '!$G$9:$G$94),0)),"")</f>
        <v/>
      </c>
      <c r="E209" s="291"/>
      <c r="F209" s="485"/>
      <c r="G209" s="181"/>
      <c r="H209" s="159">
        <f t="array" ref="H209">IFERROR(INDEX('Crosswalk '!$E$9:$E$103,MATCH(1,($B209='Crosswalk '!$B$9:$B$103)*($E209='Crosswalk '!$G$9:$G$103),0)),"")</f>
        <v>0.25</v>
      </c>
      <c r="I209" s="125">
        <f t="shared" si="95"/>
        <v>0</v>
      </c>
      <c r="J209" s="126">
        <f t="shared" si="96"/>
        <v>0</v>
      </c>
      <c r="K209" s="200">
        <f t="shared" si="97"/>
        <v>0</v>
      </c>
      <c r="L209" s="294">
        <f t="shared" si="98"/>
        <v>0</v>
      </c>
      <c r="M209" s="294">
        <f t="shared" si="99"/>
        <v>0</v>
      </c>
      <c r="N209" s="186">
        <f t="shared" si="100"/>
        <v>0</v>
      </c>
      <c r="O209" s="201" t="str">
        <f>IFERROR(ROUND(N209/'Direct Prof Sal &amp; Fringes  '!$L$8,8),"")</f>
        <v/>
      </c>
      <c r="P209" s="186" t="str">
        <f>IF(ISBLANK(O209),"",IFERROR(ROUND(O209*' Indirect Non-prof Sal &amp; Fringe'!$M$42,0),""))</f>
        <v/>
      </c>
      <c r="Q209" s="186" t="str">
        <f>IF(ISBLANK(O209),"",IFERROR(ROUND(O209*'Direct and Indirect Expenses'!$K$20,0),""))</f>
        <v/>
      </c>
      <c r="R209" s="309">
        <f>IFERROR(SUMIF('Direct and Indirect Expenses'!$B$14:$B$34,'Financial Summary &amp; Stats'!B209,'Direct and Indirect Expenses'!$H$14:$H$34)*N209/SUMIF('Financial Summary &amp; Stats'!$B:$B,'Financial Summary &amp; Stats'!B209,'Financial Summary &amp; Stats'!$N:$N),0)</f>
        <v>0</v>
      </c>
      <c r="S209" s="595"/>
      <c r="T209" s="202">
        <f>IFERROR(IF('Direct and Indirect Expenses'!$A$9="Other Indirect Allocation Method",(ROUND((N209+P209)/($N$8+$P$8)*'Direct and Indirect Expenses'!$C$9,0)),ROUND((N209+P209)*'Direct and Indirect Expenses'!$B$9,0)),0)</f>
        <v>0</v>
      </c>
      <c r="U209" s="202">
        <f t="shared" si="101"/>
        <v>0</v>
      </c>
      <c r="V209" s="293" t="str">
        <f t="shared" si="102"/>
        <v/>
      </c>
      <c r="Y209" s="128"/>
    </row>
    <row r="210" spans="1:25" ht="20.100000000000001" customHeight="1" x14ac:dyDescent="0.2">
      <c r="A210" s="161"/>
      <c r="B210" s="162"/>
      <c r="C210" s="162"/>
      <c r="D210" s="163"/>
      <c r="E210" s="163"/>
      <c r="F210" s="164"/>
      <c r="G210" s="181"/>
      <c r="H210" s="165"/>
      <c r="I210" s="166"/>
      <c r="J210" s="167"/>
      <c r="K210" s="169"/>
      <c r="L210" s="297"/>
      <c r="M210" s="297"/>
      <c r="N210" s="193"/>
      <c r="O210" s="168"/>
      <c r="P210" s="168"/>
      <c r="Q210" s="168"/>
      <c r="R210" s="193"/>
      <c r="S210" s="193"/>
      <c r="T210" s="193"/>
      <c r="U210" s="193"/>
      <c r="V210" s="191"/>
      <c r="Y210" s="128"/>
    </row>
    <row r="211" spans="1:25" ht="20.100000000000001" customHeight="1" x14ac:dyDescent="0.2">
      <c r="A211" s="161"/>
      <c r="B211" s="170"/>
      <c r="C211" s="170"/>
      <c r="D211" s="163"/>
      <c r="E211" s="163"/>
      <c r="F211" s="164"/>
      <c r="G211" s="181"/>
      <c r="H211" s="165"/>
      <c r="I211" s="166"/>
      <c r="J211" s="167"/>
      <c r="K211" s="169"/>
      <c r="L211" s="297"/>
      <c r="M211" s="297"/>
      <c r="N211" s="303"/>
      <c r="O211" s="168"/>
      <c r="P211" s="168"/>
      <c r="Q211" s="168"/>
      <c r="R211" s="193"/>
      <c r="S211" s="193"/>
      <c r="T211" s="193"/>
      <c r="U211" s="193"/>
      <c r="V211" s="191"/>
      <c r="Y211" s="128"/>
    </row>
    <row r="212" spans="1:25" ht="20.100000000000001" customHeight="1" x14ac:dyDescent="0.2">
      <c r="A212" s="129" t="s">
        <v>31</v>
      </c>
      <c r="B212" s="133"/>
      <c r="C212" s="133"/>
      <c r="D212" s="123"/>
      <c r="E212" s="123"/>
      <c r="F212" s="130"/>
      <c r="G212" s="180"/>
      <c r="H212" s="124"/>
      <c r="I212" s="120"/>
      <c r="J212" s="183">
        <f>B176-ROUND(SUM(J181:J203)+SUM(J207:J209),2)</f>
        <v>0</v>
      </c>
      <c r="K212" s="127">
        <f>IF(ISERROR(J212/$J$214),0,ROUND(J212/$J$214,8))</f>
        <v>0</v>
      </c>
      <c r="L212" s="297"/>
      <c r="M212" s="297"/>
      <c r="N212" s="303"/>
      <c r="O212" s="168"/>
      <c r="P212" s="168"/>
      <c r="Q212" s="168"/>
      <c r="R212" s="193"/>
      <c r="S212" s="193"/>
      <c r="T212" s="193"/>
      <c r="U212" s="193"/>
      <c r="V212" s="191"/>
      <c r="Y212" s="128"/>
    </row>
    <row r="213" spans="1:25" ht="20.100000000000001" customHeight="1" x14ac:dyDescent="0.2">
      <c r="A213" s="129"/>
      <c r="B213" s="133"/>
      <c r="C213" s="133"/>
      <c r="D213" s="123"/>
      <c r="E213" s="123"/>
      <c r="F213" s="130"/>
      <c r="G213" s="180"/>
      <c r="H213" s="124"/>
      <c r="I213" s="125"/>
      <c r="J213" s="126"/>
      <c r="K213" s="127"/>
      <c r="L213" s="297"/>
      <c r="M213" s="297"/>
      <c r="N213" s="303"/>
      <c r="O213" s="168"/>
      <c r="P213" s="168"/>
      <c r="Q213" s="168"/>
      <c r="R213" s="193"/>
      <c r="S213" s="193"/>
      <c r="T213" s="193"/>
      <c r="U213" s="193"/>
      <c r="V213" s="191"/>
      <c r="Y213" s="128"/>
    </row>
    <row r="214" spans="1:25" ht="20.100000000000001" customHeight="1" x14ac:dyDescent="0.2">
      <c r="A214" s="129" t="s">
        <v>38</v>
      </c>
      <c r="B214" s="133"/>
      <c r="C214" s="133"/>
      <c r="D214" s="123"/>
      <c r="E214" s="123"/>
      <c r="F214" s="134">
        <f>SUM(F181:F213)</f>
        <v>0</v>
      </c>
      <c r="G214" s="182">
        <f>ROUND(SUM(G181:G213),2)</f>
        <v>0</v>
      </c>
      <c r="H214" s="119"/>
      <c r="I214" s="125">
        <f>ROUND(SUM(I181:I213),2)</f>
        <v>0</v>
      </c>
      <c r="J214" s="126">
        <f>IFERROR(SUM(J181:J212),"")</f>
        <v>0</v>
      </c>
      <c r="K214" s="121">
        <f>ROUND(SUM(K181:K213),4)</f>
        <v>0</v>
      </c>
      <c r="L214" s="298">
        <f>ROUND(SUM(L181:L213),0)</f>
        <v>0</v>
      </c>
      <c r="M214" s="295">
        <f>ROUND(K212*$B$177,0)</f>
        <v>0</v>
      </c>
      <c r="N214" s="194">
        <f>ROUND(SUM(N181:N213),0)</f>
        <v>0</v>
      </c>
      <c r="O214" s="201" t="str">
        <f>IFERROR(ROUND(N214/$N$8,8),"")</f>
        <v/>
      </c>
      <c r="P214" s="135">
        <f t="shared" ref="P214:U214" si="103">ROUND(SUM(P181:P213),0)</f>
        <v>0</v>
      </c>
      <c r="Q214" s="135">
        <f t="shared" si="103"/>
        <v>0</v>
      </c>
      <c r="R214" s="194">
        <f t="shared" si="103"/>
        <v>0</v>
      </c>
      <c r="S214" s="194">
        <f t="shared" si="103"/>
        <v>0</v>
      </c>
      <c r="T214" s="194">
        <f t="shared" si="103"/>
        <v>0</v>
      </c>
      <c r="U214" s="194">
        <f t="shared" si="103"/>
        <v>0</v>
      </c>
      <c r="V214" s="190" t="str">
        <f>IFERROR(AVERAGE(V181:V203,V206:V209),"")</f>
        <v/>
      </c>
    </row>
    <row r="215" spans="1:25" ht="22.5" customHeight="1" thickBot="1" x14ac:dyDescent="0.3">
      <c r="A215" s="152"/>
      <c r="B215" s="153"/>
      <c r="C215" s="153"/>
      <c r="D215" s="154"/>
      <c r="E215" s="153"/>
      <c r="F215" s="153"/>
      <c r="G215" s="154"/>
      <c r="H215" s="156"/>
      <c r="I215" s="155"/>
      <c r="J215" s="153"/>
      <c r="K215" s="156"/>
      <c r="L215" s="301"/>
      <c r="M215" s="306"/>
      <c r="N215" s="307"/>
    </row>
    <row r="216" spans="1:25" ht="22.5" customHeight="1" x14ac:dyDescent="0.3">
      <c r="A216" s="669" t="str">
        <f>IF(ISBLANK('Direct Prof Sal &amp; Fringes  '!B198),"",+'Direct Prof Sal &amp; Fringes  '!B198)</f>
        <v/>
      </c>
      <c r="B216" s="671"/>
      <c r="C216" s="671"/>
      <c r="D216" s="671"/>
      <c r="E216" s="671"/>
      <c r="F216" s="671"/>
      <c r="G216" s="671"/>
      <c r="H216" s="671"/>
      <c r="I216" s="671"/>
      <c r="J216" s="671"/>
      <c r="K216" s="671"/>
      <c r="L216" s="671"/>
      <c r="M216" s="671"/>
      <c r="N216" s="671"/>
      <c r="O216" s="671"/>
      <c r="P216" s="671"/>
      <c r="Q216" s="671"/>
      <c r="R216" s="671"/>
      <c r="S216" s="671"/>
      <c r="T216" s="671"/>
      <c r="U216" s="671"/>
      <c r="V216" s="672"/>
    </row>
    <row r="217" spans="1:25" ht="22.5" customHeight="1" x14ac:dyDescent="0.25">
      <c r="A217" s="429" t="s">
        <v>18</v>
      </c>
      <c r="B217" s="461">
        <f>+'Direct Prof Sal &amp; Fringes  '!G233</f>
        <v>0</v>
      </c>
      <c r="C217" s="461"/>
      <c r="D217" s="431"/>
      <c r="E217" s="432"/>
      <c r="F217" s="432"/>
      <c r="G217" s="431"/>
      <c r="H217" s="433"/>
      <c r="I217" s="434"/>
      <c r="J217" s="432"/>
      <c r="K217" s="433"/>
      <c r="L217" s="435"/>
      <c r="M217" s="436"/>
      <c r="N217" s="436"/>
      <c r="O217" s="457"/>
      <c r="P217" s="457"/>
      <c r="Q217" s="457"/>
      <c r="R217" s="438"/>
      <c r="S217" s="438"/>
      <c r="T217" s="438"/>
      <c r="U217" s="439"/>
      <c r="V217" s="440"/>
    </row>
    <row r="218" spans="1:25" ht="20.100000000000001" customHeight="1" x14ac:dyDescent="0.25">
      <c r="A218" s="429" t="s">
        <v>163</v>
      </c>
      <c r="B218" s="462">
        <f>+'Direct Prof Sal &amp; Fringes  '!L233</f>
        <v>0</v>
      </c>
      <c r="C218" s="462"/>
      <c r="D218" s="431"/>
      <c r="E218" s="432"/>
      <c r="F218" s="432"/>
      <c r="G218" s="431"/>
      <c r="H218" s="433"/>
      <c r="I218" s="434"/>
      <c r="J218" s="432"/>
      <c r="K218" s="433"/>
      <c r="L218" s="435"/>
      <c r="M218" s="436"/>
      <c r="N218" s="436"/>
      <c r="O218" s="457"/>
      <c r="P218" s="457"/>
      <c r="Q218" s="457"/>
      <c r="R218" s="442"/>
      <c r="S218" s="442"/>
      <c r="T218" s="442"/>
      <c r="U218" s="442"/>
      <c r="V218" s="443"/>
    </row>
    <row r="219" spans="1:25" ht="20.100000000000001" customHeight="1" thickBot="1" x14ac:dyDescent="0.3">
      <c r="A219" s="444" t="s">
        <v>222</v>
      </c>
      <c r="B219" s="445">
        <f>IFERROR((ROUND((SUM($J$222:$J$250))/B217,8)),0)</f>
        <v>0</v>
      </c>
      <c r="C219" s="447"/>
      <c r="D219" s="448"/>
      <c r="E219" s="447"/>
      <c r="F219" s="447"/>
      <c r="G219" s="448"/>
      <c r="H219" s="449"/>
      <c r="I219" s="450"/>
      <c r="J219" s="447"/>
      <c r="K219" s="449"/>
      <c r="L219" s="451"/>
      <c r="M219" s="452"/>
      <c r="N219" s="452"/>
      <c r="O219" s="458"/>
      <c r="P219" s="458"/>
      <c r="Q219" s="458"/>
      <c r="R219" s="454"/>
      <c r="S219" s="454"/>
      <c r="T219" s="454"/>
      <c r="U219" s="454"/>
      <c r="V219" s="455"/>
    </row>
    <row r="220" spans="1:25" ht="19.5" customHeight="1" thickBot="1" x14ac:dyDescent="0.3">
      <c r="A220" s="428" t="s">
        <v>49</v>
      </c>
      <c r="B220" s="428" t="s">
        <v>50</v>
      </c>
      <c r="C220" s="428" t="s">
        <v>51</v>
      </c>
      <c r="D220" s="428" t="s">
        <v>52</v>
      </c>
      <c r="E220" s="428" t="s">
        <v>53</v>
      </c>
      <c r="F220" s="428" t="s">
        <v>54</v>
      </c>
      <c r="G220" s="428" t="s">
        <v>55</v>
      </c>
      <c r="H220" s="428" t="s">
        <v>56</v>
      </c>
      <c r="I220" s="428" t="s">
        <v>57</v>
      </c>
      <c r="J220" s="428" t="s">
        <v>58</v>
      </c>
      <c r="K220" s="428" t="s">
        <v>59</v>
      </c>
      <c r="L220" s="428" t="s">
        <v>223</v>
      </c>
      <c r="M220" s="428" t="s">
        <v>224</v>
      </c>
      <c r="N220" s="428" t="s">
        <v>225</v>
      </c>
      <c r="O220" s="428" t="s">
        <v>226</v>
      </c>
      <c r="P220" s="428" t="s">
        <v>227</v>
      </c>
      <c r="Q220" s="428" t="s">
        <v>228</v>
      </c>
      <c r="R220" s="428" t="s">
        <v>229</v>
      </c>
      <c r="S220" s="428" t="s">
        <v>230</v>
      </c>
      <c r="T220" s="428" t="s">
        <v>231</v>
      </c>
      <c r="U220" s="428" t="s">
        <v>232</v>
      </c>
      <c r="V220" s="428" t="s">
        <v>242</v>
      </c>
    </row>
    <row r="221" spans="1:25" ht="87.75" customHeight="1" thickBot="1" x14ac:dyDescent="0.3">
      <c r="A221" s="346" t="s">
        <v>244</v>
      </c>
      <c r="B221" s="347" t="s">
        <v>42</v>
      </c>
      <c r="C221" s="347" t="s">
        <v>198</v>
      </c>
      <c r="D221" s="348" t="s">
        <v>62</v>
      </c>
      <c r="E221" s="348" t="s">
        <v>98</v>
      </c>
      <c r="F221" s="536" t="s">
        <v>260</v>
      </c>
      <c r="G221" s="349" t="s">
        <v>199</v>
      </c>
      <c r="H221" s="350" t="s">
        <v>19</v>
      </c>
      <c r="I221" s="347" t="s">
        <v>256</v>
      </c>
      <c r="J221" s="347" t="s">
        <v>41</v>
      </c>
      <c r="K221" s="351" t="s">
        <v>30</v>
      </c>
      <c r="L221" s="352" t="s">
        <v>173</v>
      </c>
      <c r="M221" s="352" t="s">
        <v>177</v>
      </c>
      <c r="N221" s="352" t="s">
        <v>176</v>
      </c>
      <c r="O221" s="351" t="s">
        <v>172</v>
      </c>
      <c r="P221" s="353" t="s">
        <v>178</v>
      </c>
      <c r="Q221" s="351" t="s">
        <v>204</v>
      </c>
      <c r="R221" s="352" t="s">
        <v>203</v>
      </c>
      <c r="S221" s="352" t="s">
        <v>243</v>
      </c>
      <c r="T221" s="597" t="str">
        <f>IF(ISBLANK(+'Direct and Indirect Expenses'!$A$9),"Indirect Cost Method",+'Direct and Indirect Expenses'!$A$9)</f>
        <v>Indirect Cost Method</v>
      </c>
      <c r="U221" s="354" t="s">
        <v>23</v>
      </c>
      <c r="V221" s="355" t="s">
        <v>44</v>
      </c>
    </row>
    <row r="222" spans="1:25" ht="20.100000000000001" customHeight="1" x14ac:dyDescent="0.2">
      <c r="A222" s="290" t="s">
        <v>75</v>
      </c>
      <c r="B222" s="283" t="s">
        <v>77</v>
      </c>
      <c r="C222" s="283"/>
      <c r="D222" s="198" t="str">
        <f t="array" ref="D222">IFERROR(INDEX('Crosswalk '!$C$9:$C$94,MATCH(1,($B222='Crosswalk '!$B$9:$B$94)*($E222='Crosswalk '!$G$9:$G$94),0)),"")</f>
        <v/>
      </c>
      <c r="E222" s="291" t="str">
        <f t="array" ref="E222">IFERROR(INDEX('Crosswalk '!$E$106:$E$125,MATCH(1,($A$216='Crosswalk '!$D$106:$D$125)*($C222='Crosswalk '!$F$106:$F$125),0)),"")</f>
        <v/>
      </c>
      <c r="F222" s="485"/>
      <c r="G222" s="292"/>
      <c r="H222" s="159" t="str">
        <f t="array" ref="H222">IFERROR(INDEX('Crosswalk '!$E$9:$E$103,MATCH(1,($B222='Crosswalk '!$B$9:$B$103)*($E222='Crosswalk '!$G$9:$G$103),0)),"")</f>
        <v/>
      </c>
      <c r="I222" s="199">
        <f t="shared" ref="I222:I229" si="104">IFERROR(ROUND(F222*H222,2),0)</f>
        <v>0</v>
      </c>
      <c r="J222" s="126" t="str">
        <f t="shared" ref="J222:J244" si="105">IF(ISTEXT(H222),"",IFERROR(ROUND(I222+G222,2),""))</f>
        <v/>
      </c>
      <c r="K222" s="200">
        <f t="shared" ref="K222:K244" si="106">IF(ISERROR(J222/$J$255),0,ROUND(J222/$J$255,8))</f>
        <v>0</v>
      </c>
      <c r="L222" s="294">
        <f>ROUND(K222*$B$218,0)</f>
        <v>0</v>
      </c>
      <c r="M222" s="294">
        <f t="shared" ref="M222:M244" si="107">IFERROR(ROUND(L222/$L$255*$M$255,0),0)</f>
        <v>0</v>
      </c>
      <c r="N222" s="202">
        <f t="shared" ref="N222:N244" si="108">ROUND(L222+M222,0)</f>
        <v>0</v>
      </c>
      <c r="O222" s="201" t="str">
        <f>IFERROR(ROUND(N222/'Direct Prof Sal &amp; Fringes  '!$L$8,8),"")</f>
        <v/>
      </c>
      <c r="P222" s="202" t="str">
        <f>IF(ISBLANK(O222),"",IFERROR(ROUND(O222*' Indirect Non-prof Sal &amp; Fringe'!$M$42,0),""))</f>
        <v/>
      </c>
      <c r="Q222" s="202" t="str">
        <f>IF(ISBLANK(O222),"",IFERROR(ROUND(O222*'Direct and Indirect Expenses'!$K$20,0),""))</f>
        <v/>
      </c>
      <c r="R222" s="308">
        <f>IFERROR(SUMIF('Direct and Indirect Expenses'!$B$14:$B$34,'Financial Summary &amp; Stats'!B222,'Direct and Indirect Expenses'!$H$14:$H$34)*N222/SUMIF('Financial Summary &amp; Stats'!$B:$B,'Financial Summary &amp; Stats'!B222,'Financial Summary &amp; Stats'!$N:$N),0)</f>
        <v>0</v>
      </c>
      <c r="S222" s="595"/>
      <c r="T222" s="202">
        <f>IFERROR(IF('Direct and Indirect Expenses'!$A$9="Other Indirect Allocation Method",(ROUND((N222+P222)/($N$8+$P$8)*'Direct and Indirect Expenses'!$C$9,0)),ROUND((N222+P222)*'Direct and Indirect Expenses'!$B$9,0)),0)</f>
        <v>0</v>
      </c>
      <c r="U222" s="202">
        <f>IFERROR(ROUND((T222+R222+Q222+P222+N222+S222),0),0)</f>
        <v>0</v>
      </c>
      <c r="V222" s="293" t="str">
        <f>IFERROR(ROUND(U222/F222,2),"")</f>
        <v/>
      </c>
    </row>
    <row r="223" spans="1:25" ht="20.100000000000001" customHeight="1" x14ac:dyDescent="0.2">
      <c r="A223" s="116" t="s">
        <v>70</v>
      </c>
      <c r="B223" s="122" t="s">
        <v>107</v>
      </c>
      <c r="C223" s="122"/>
      <c r="D223" s="123" t="str">
        <f t="array" ref="D223">IFERROR(INDEX('Crosswalk '!$C$9:$C$94,MATCH(1,(B223='Crosswalk '!$B$9:$B$94)*(E223='Crosswalk '!$G$9:$G$94),0)),"")</f>
        <v/>
      </c>
      <c r="E223" s="291" t="str">
        <f t="array" ref="E223">IFERROR(INDEX('Crosswalk '!$E$106:$E$125,MATCH(1,($A$216='Crosswalk '!$D$106:$D$125)*($C223='Crosswalk '!$F$106:$F$125),0)),"")</f>
        <v/>
      </c>
      <c r="F223" s="485"/>
      <c r="G223" s="185"/>
      <c r="H223" s="159" t="str">
        <f t="array" ref="H223">IFERROR(INDEX('Crosswalk '!$E$9:$E$103,MATCH(1,($B223='Crosswalk '!$B$9:$B$103)*($E223='Crosswalk '!$G$9:$G$103),0)),"")</f>
        <v/>
      </c>
      <c r="I223" s="125">
        <f t="shared" si="104"/>
        <v>0</v>
      </c>
      <c r="J223" s="126" t="str">
        <f t="shared" si="105"/>
        <v/>
      </c>
      <c r="K223" s="200">
        <f t="shared" si="106"/>
        <v>0</v>
      </c>
      <c r="L223" s="294">
        <f t="shared" ref="L223:L244" si="109">ROUND(K223*$B$218,0)</f>
        <v>0</v>
      </c>
      <c r="M223" s="294">
        <f t="shared" si="107"/>
        <v>0</v>
      </c>
      <c r="N223" s="186">
        <f t="shared" si="108"/>
        <v>0</v>
      </c>
      <c r="O223" s="201" t="str">
        <f>IFERROR(ROUND(N223/'Direct Prof Sal &amp; Fringes  '!$L$8,8),"")</f>
        <v/>
      </c>
      <c r="P223" s="186" t="str">
        <f>IF(ISBLANK(O223),"",IFERROR(ROUND(O223*' Indirect Non-prof Sal &amp; Fringe'!$M$42,0),""))</f>
        <v/>
      </c>
      <c r="Q223" s="186" t="str">
        <f>IF(ISBLANK(O223),"",IFERROR(ROUND(O223*'Direct and Indirect Expenses'!$K$20,0),""))</f>
        <v/>
      </c>
      <c r="R223" s="309">
        <f>IFERROR(SUMIF('Direct and Indirect Expenses'!$B$14:$B$34,'Financial Summary &amp; Stats'!B223,'Direct and Indirect Expenses'!$H$14:$H$34)*N223/SUMIF('Financial Summary &amp; Stats'!$B:$B,'Financial Summary &amp; Stats'!B223,'Financial Summary &amp; Stats'!$N:$N),0)</f>
        <v>0</v>
      </c>
      <c r="S223" s="595"/>
      <c r="T223" s="202">
        <f>IFERROR(IF('Direct and Indirect Expenses'!$A$9="Other Indirect Allocation Method",(ROUND((N223+P223)/($N$8+$P$8)*'Direct and Indirect Expenses'!$C$9,0)),ROUND((N223+P223)*'Direct and Indirect Expenses'!$B$9,0)),0)</f>
        <v>0</v>
      </c>
      <c r="U223" s="202">
        <f t="shared" ref="U223:U244" si="110">IFERROR(ROUND((T223+R223+Q223+P223+N223),0),0)</f>
        <v>0</v>
      </c>
      <c r="V223" s="293" t="str">
        <f t="shared" ref="V223:V244" si="111">IFERROR(ROUND(U223/F223,2),"")</f>
        <v/>
      </c>
      <c r="Y223" s="128"/>
    </row>
    <row r="224" spans="1:25" ht="20.100000000000001" customHeight="1" x14ac:dyDescent="0.2">
      <c r="A224" s="116" t="s">
        <v>115</v>
      </c>
      <c r="B224" s="122" t="s">
        <v>71</v>
      </c>
      <c r="C224" s="122"/>
      <c r="D224" s="123" t="str">
        <f t="array" ref="D224">IFERROR(INDEX('Crosswalk '!$C$9:$C$94,MATCH(1,(B224='Crosswalk '!$B$9:$B$94)*(E224='Crosswalk '!$G$9:$G$94),0)),"")</f>
        <v/>
      </c>
      <c r="E224" s="291" t="str">
        <f t="array" ref="E224">IFERROR(INDEX('Crosswalk '!$E$106:$E$125,MATCH(1,($A$216='Crosswalk '!$D$106:$D$125)*($C224='Crosswalk '!$F$106:$F$125),0)),"")</f>
        <v/>
      </c>
      <c r="F224" s="485"/>
      <c r="G224" s="185"/>
      <c r="H224" s="159" t="str">
        <f t="array" ref="H224">IFERROR(INDEX('Crosswalk '!$E$9:$E$103,MATCH(1,($B224='Crosswalk '!$B$9:$B$103)*($E224='Crosswalk '!$G$9:$G$103),0)),"")</f>
        <v/>
      </c>
      <c r="I224" s="125">
        <f t="shared" si="104"/>
        <v>0</v>
      </c>
      <c r="J224" s="126" t="str">
        <f t="shared" si="105"/>
        <v/>
      </c>
      <c r="K224" s="200">
        <f t="shared" si="106"/>
        <v>0</v>
      </c>
      <c r="L224" s="294">
        <f t="shared" si="109"/>
        <v>0</v>
      </c>
      <c r="M224" s="294">
        <f t="shared" si="107"/>
        <v>0</v>
      </c>
      <c r="N224" s="186">
        <f t="shared" si="108"/>
        <v>0</v>
      </c>
      <c r="O224" s="201" t="str">
        <f>IFERROR(ROUND(N224/'Direct Prof Sal &amp; Fringes  '!$L$8,8),"")</f>
        <v/>
      </c>
      <c r="P224" s="186" t="str">
        <f>IF(ISBLANK(O224),"",IFERROR(ROUND(O224*' Indirect Non-prof Sal &amp; Fringe'!$M$42,0),""))</f>
        <v/>
      </c>
      <c r="Q224" s="186" t="str">
        <f>IF(ISBLANK(O224),"",IFERROR(ROUND(O224*'Direct and Indirect Expenses'!$K$20,0),""))</f>
        <v/>
      </c>
      <c r="R224" s="309">
        <f>IFERROR(SUMIF('Direct and Indirect Expenses'!$B$14:$B$34,'Financial Summary &amp; Stats'!B224,'Direct and Indirect Expenses'!$H$14:$H$34)*N224/SUMIF('Financial Summary &amp; Stats'!$B:$B,'Financial Summary &amp; Stats'!B224,'Financial Summary &amp; Stats'!$N:$N),0)</f>
        <v>0</v>
      </c>
      <c r="S224" s="595"/>
      <c r="T224" s="202">
        <f>IFERROR(IF('Direct and Indirect Expenses'!$A$9="Other Indirect Allocation Method",(ROUND((N224+P224)/($N$8+$P$8)*'Direct and Indirect Expenses'!$C$9,0)),ROUND((N224+P224)*'Direct and Indirect Expenses'!$B$9,0)),0)</f>
        <v>0</v>
      </c>
      <c r="U224" s="202">
        <f t="shared" si="110"/>
        <v>0</v>
      </c>
      <c r="V224" s="293" t="str">
        <f t="shared" si="111"/>
        <v/>
      </c>
      <c r="Y224" s="128"/>
    </row>
    <row r="225" spans="1:25" ht="20.100000000000001" customHeight="1" x14ac:dyDescent="0.2">
      <c r="A225" s="116" t="s">
        <v>118</v>
      </c>
      <c r="B225" s="122" t="s">
        <v>124</v>
      </c>
      <c r="C225" s="122"/>
      <c r="D225" s="123" t="str">
        <f t="array" ref="D225">IFERROR(INDEX('Crosswalk '!$C$9:$C$94,MATCH(1,(B225='Crosswalk '!$B$9:$B$94)*(E225='Crosswalk '!$G$9:$G$94),0)),"")</f>
        <v/>
      </c>
      <c r="E225" s="291" t="str">
        <f t="array" ref="E225">IFERROR(INDEX('Crosswalk '!$E$106:$E$125,MATCH(1,($A$216='Crosswalk '!$D$106:$D$125)*($C225='Crosswalk '!$F$106:$F$125),0)),"")</f>
        <v/>
      </c>
      <c r="F225" s="485"/>
      <c r="G225" s="185"/>
      <c r="H225" s="159" t="str">
        <f t="array" ref="H225">IFERROR(INDEX('Crosswalk '!$E$9:$E$103,MATCH(1,($B225='Crosswalk '!$B$9:$B$103)*($E225='Crosswalk '!$G$9:$G$103),0)),"")</f>
        <v/>
      </c>
      <c r="I225" s="125">
        <f t="shared" si="104"/>
        <v>0</v>
      </c>
      <c r="J225" s="126" t="str">
        <f t="shared" si="105"/>
        <v/>
      </c>
      <c r="K225" s="200">
        <f t="shared" si="106"/>
        <v>0</v>
      </c>
      <c r="L225" s="294">
        <f t="shared" si="109"/>
        <v>0</v>
      </c>
      <c r="M225" s="294">
        <f t="shared" si="107"/>
        <v>0</v>
      </c>
      <c r="N225" s="186">
        <f t="shared" si="108"/>
        <v>0</v>
      </c>
      <c r="O225" s="201" t="str">
        <f>IFERROR(ROUND(N225/'Direct Prof Sal &amp; Fringes  '!$L$8,8),"")</f>
        <v/>
      </c>
      <c r="P225" s="186" t="str">
        <f>IF(ISBLANK(O225),"",IFERROR(ROUND(O225*' Indirect Non-prof Sal &amp; Fringe'!$M$42,0),""))</f>
        <v/>
      </c>
      <c r="Q225" s="186" t="str">
        <f>IF(ISBLANK(O225),"",IFERROR(ROUND(O225*'Direct and Indirect Expenses'!$K$20,0),""))</f>
        <v/>
      </c>
      <c r="R225" s="309">
        <f>IFERROR(SUMIF('Direct and Indirect Expenses'!$B$14:$B$34,'Financial Summary &amp; Stats'!B225,'Direct and Indirect Expenses'!$H$14:$H$34)*N225/SUMIF('Financial Summary &amp; Stats'!$B:$B,'Financial Summary &amp; Stats'!B225,'Financial Summary &amp; Stats'!$N:$N),0)</f>
        <v>0</v>
      </c>
      <c r="S225" s="595"/>
      <c r="T225" s="202">
        <f>IFERROR(IF('Direct and Indirect Expenses'!$A$9="Other Indirect Allocation Method",(ROUND((N225+P225)/($N$8+$P$8)*'Direct and Indirect Expenses'!$C$9,0)),ROUND((N225+P225)*'Direct and Indirect Expenses'!$B$9,0)),0)</f>
        <v>0</v>
      </c>
      <c r="U225" s="202">
        <f t="shared" si="110"/>
        <v>0</v>
      </c>
      <c r="V225" s="293" t="str">
        <f t="shared" si="111"/>
        <v/>
      </c>
      <c r="Y225" s="128"/>
    </row>
    <row r="226" spans="1:25" ht="20.100000000000001" customHeight="1" x14ac:dyDescent="0.2">
      <c r="A226" s="116" t="s">
        <v>119</v>
      </c>
      <c r="B226" s="132" t="s">
        <v>126</v>
      </c>
      <c r="C226" s="122"/>
      <c r="D226" s="123" t="str">
        <f t="array" ref="D226">IFERROR(INDEX('Crosswalk '!$C$9:$C$94,MATCH(1,(B226='Crosswalk '!$B$9:$B$94)*(E226='Crosswalk '!$G$9:$G$94),0)),"")</f>
        <v/>
      </c>
      <c r="E226" s="291" t="str">
        <f t="array" ref="E226">IFERROR(INDEX('Crosswalk '!$E$106:$E$125,MATCH(1,($A$216='Crosswalk '!$D$106:$D$125)*($C226='Crosswalk '!$F$106:$F$125),0)),"")</f>
        <v/>
      </c>
      <c r="F226" s="485"/>
      <c r="G226" s="185"/>
      <c r="H226" s="159" t="str">
        <f t="array" ref="H226">IFERROR(INDEX('Crosswalk '!$E$9:$E$103,MATCH(1,($B226='Crosswalk '!$B$9:$B$103)*($E226='Crosswalk '!$G$9:$G$103),0)),"")</f>
        <v/>
      </c>
      <c r="I226" s="125">
        <f t="shared" si="104"/>
        <v>0</v>
      </c>
      <c r="J226" s="126" t="str">
        <f t="shared" si="105"/>
        <v/>
      </c>
      <c r="K226" s="200">
        <f t="shared" si="106"/>
        <v>0</v>
      </c>
      <c r="L226" s="294">
        <f t="shared" si="109"/>
        <v>0</v>
      </c>
      <c r="M226" s="294">
        <f t="shared" si="107"/>
        <v>0</v>
      </c>
      <c r="N226" s="186">
        <f t="shared" si="108"/>
        <v>0</v>
      </c>
      <c r="O226" s="201" t="str">
        <f>IFERROR(ROUND(N226/'Direct Prof Sal &amp; Fringes  '!$L$8,8),"")</f>
        <v/>
      </c>
      <c r="P226" s="186" t="str">
        <f>IF(ISBLANK(O226),"",IFERROR(ROUND(O226*' Indirect Non-prof Sal &amp; Fringe'!$M$42,0),""))</f>
        <v/>
      </c>
      <c r="Q226" s="186" t="str">
        <f>IF(ISBLANK(O226),"",IFERROR(ROUND(O226*'Direct and Indirect Expenses'!$K$20,0),""))</f>
        <v/>
      </c>
      <c r="R226" s="309">
        <f>IFERROR(SUMIF('Direct and Indirect Expenses'!$B$14:$B$34,'Financial Summary &amp; Stats'!B226,'Direct and Indirect Expenses'!$H$14:$H$34)*N226/SUMIF('Financial Summary &amp; Stats'!$B:$B,'Financial Summary &amp; Stats'!B226,'Financial Summary &amp; Stats'!$N:$N),0)</f>
        <v>0</v>
      </c>
      <c r="S226" s="595"/>
      <c r="T226" s="202">
        <f>IFERROR(IF('Direct and Indirect Expenses'!$A$9="Other Indirect Allocation Method",(ROUND((N226+P226)/($N$8+$P$8)*'Direct and Indirect Expenses'!$C$9,0)),ROUND((N226+P226)*'Direct and Indirect Expenses'!$B$9,0)),0)</f>
        <v>0</v>
      </c>
      <c r="U226" s="202">
        <f t="shared" si="110"/>
        <v>0</v>
      </c>
      <c r="V226" s="293" t="str">
        <f t="shared" si="111"/>
        <v/>
      </c>
      <c r="W226" s="51"/>
    </row>
    <row r="227" spans="1:25" ht="20.100000000000001" customHeight="1" x14ac:dyDescent="0.2">
      <c r="A227" s="116" t="s">
        <v>80</v>
      </c>
      <c r="B227" s="122" t="s">
        <v>81</v>
      </c>
      <c r="C227" s="122"/>
      <c r="D227" s="123" t="str">
        <f t="array" ref="D227">IFERROR(INDEX('Crosswalk '!$C$9:$C$94,MATCH(1,(B227='Crosswalk '!$B$9:$B$94)*(E227='Crosswalk '!$G$9:$G$94),0)),"")</f>
        <v/>
      </c>
      <c r="E227" s="291" t="str">
        <f t="array" ref="E227">IFERROR(INDEX('Crosswalk '!$E$106:$E$125,MATCH(1,($A$216='Crosswalk '!$D$106:$D$125)*($C227='Crosswalk '!$F$106:$F$125),0)),"")</f>
        <v/>
      </c>
      <c r="F227" s="485"/>
      <c r="G227" s="185"/>
      <c r="H227" s="159" t="str">
        <f t="array" ref="H227">IFERROR(INDEX('Crosswalk '!$E$9:$E$103,MATCH(1,($B227='Crosswalk '!$B$9:$B$103)*($E227='Crosswalk '!$G$9:$G$103),0)),"")</f>
        <v/>
      </c>
      <c r="I227" s="125">
        <f t="shared" si="104"/>
        <v>0</v>
      </c>
      <c r="J227" s="126" t="str">
        <f t="shared" si="105"/>
        <v/>
      </c>
      <c r="K227" s="200">
        <f t="shared" si="106"/>
        <v>0</v>
      </c>
      <c r="L227" s="294">
        <f t="shared" si="109"/>
        <v>0</v>
      </c>
      <c r="M227" s="294">
        <f t="shared" si="107"/>
        <v>0</v>
      </c>
      <c r="N227" s="186">
        <f t="shared" si="108"/>
        <v>0</v>
      </c>
      <c r="O227" s="201" t="str">
        <f>IFERROR(ROUND(N227/'Direct Prof Sal &amp; Fringes  '!$L$8,8),"")</f>
        <v/>
      </c>
      <c r="P227" s="186" t="str">
        <f>IF(ISBLANK(O227),"",IFERROR(ROUND(O227*' Indirect Non-prof Sal &amp; Fringe'!$M$42,0),""))</f>
        <v/>
      </c>
      <c r="Q227" s="186" t="str">
        <f>IF(ISBLANK(O227),"",IFERROR(ROUND(O227*'Direct and Indirect Expenses'!$K$20,0),""))</f>
        <v/>
      </c>
      <c r="R227" s="309">
        <f>IFERROR(SUMIF('Direct and Indirect Expenses'!$B$14:$B$34,'Financial Summary &amp; Stats'!B227,'Direct and Indirect Expenses'!$H$14:$H$34)*N227/SUMIF('Financial Summary &amp; Stats'!$B:$B,'Financial Summary &amp; Stats'!B227,'Financial Summary &amp; Stats'!$N:$N),0)</f>
        <v>0</v>
      </c>
      <c r="S227" s="595"/>
      <c r="T227" s="202">
        <f>IFERROR(IF('Direct and Indirect Expenses'!$A$9="Other Indirect Allocation Method",(ROUND((N227+P227)/($N$8+$P$8)*'Direct and Indirect Expenses'!$C$9,0)),ROUND((N227+P227)*'Direct and Indirect Expenses'!$B$9,0)),0)</f>
        <v>0</v>
      </c>
      <c r="U227" s="202">
        <f t="shared" si="110"/>
        <v>0</v>
      </c>
      <c r="V227" s="293" t="str">
        <f t="shared" si="111"/>
        <v/>
      </c>
      <c r="Y227" s="128"/>
    </row>
    <row r="228" spans="1:25" ht="20.100000000000001" customHeight="1" x14ac:dyDescent="0.2">
      <c r="A228" s="116" t="s">
        <v>111</v>
      </c>
      <c r="B228" s="122">
        <v>90846</v>
      </c>
      <c r="C228" s="122"/>
      <c r="D228" s="123" t="str">
        <f t="array" ref="D228">IFERROR(INDEX('Crosswalk '!$C$9:$C$94,MATCH(1,(B228='Crosswalk '!$B$9:$B$94)*(E228='Crosswalk '!$G$9:$G$94),0)),"")</f>
        <v/>
      </c>
      <c r="E228" s="291" t="str">
        <f t="array" ref="E228">IFERROR(INDEX('Crosswalk '!$E$106:$E$125,MATCH(1,($A$216='Crosswalk '!$D$106:$D$125)*($C228='Crosswalk '!$F$106:$F$125),0)),"")</f>
        <v/>
      </c>
      <c r="F228" s="485"/>
      <c r="G228" s="185"/>
      <c r="H228" s="159" t="str">
        <f t="array" ref="H228">IFERROR(INDEX('Crosswalk '!$E$9:$E$103,MATCH(1,($B228='Crosswalk '!$B$9:$B$103)*($E228='Crosswalk '!$G$9:$G$103),0)),"")</f>
        <v/>
      </c>
      <c r="I228" s="125">
        <f t="shared" si="104"/>
        <v>0</v>
      </c>
      <c r="J228" s="126" t="str">
        <f t="shared" si="105"/>
        <v/>
      </c>
      <c r="K228" s="200">
        <f t="shared" si="106"/>
        <v>0</v>
      </c>
      <c r="L228" s="294">
        <f t="shared" si="109"/>
        <v>0</v>
      </c>
      <c r="M228" s="294">
        <f t="shared" si="107"/>
        <v>0</v>
      </c>
      <c r="N228" s="186">
        <f t="shared" si="108"/>
        <v>0</v>
      </c>
      <c r="O228" s="201" t="str">
        <f>IFERROR(ROUND(N228/'Direct Prof Sal &amp; Fringes  '!$L$8,8),"")</f>
        <v/>
      </c>
      <c r="P228" s="186" t="str">
        <f>IF(ISBLANK(O228),"",IFERROR(ROUND(O228*' Indirect Non-prof Sal &amp; Fringe'!$M$42,0),""))</f>
        <v/>
      </c>
      <c r="Q228" s="186" t="str">
        <f>IF(ISBLANK(O228),"",IFERROR(ROUND(O228*'Direct and Indirect Expenses'!$K$20,0),""))</f>
        <v/>
      </c>
      <c r="R228" s="309">
        <f>IFERROR(SUMIF('Direct and Indirect Expenses'!$B$14:$B$34,'Financial Summary &amp; Stats'!B228,'Direct and Indirect Expenses'!$H$14:$H$34)*N228/SUMIF('Financial Summary &amp; Stats'!$B:$B,'Financial Summary &amp; Stats'!B228,'Financial Summary &amp; Stats'!$N:$N),0)</f>
        <v>0</v>
      </c>
      <c r="S228" s="595"/>
      <c r="T228" s="202">
        <f>IFERROR(IF('Direct and Indirect Expenses'!$A$9="Other Indirect Allocation Method",(ROUND((N228+P228)/($N$8+$P$8)*'Direct and Indirect Expenses'!$C$9,0)),ROUND((N228+P228)*'Direct and Indirect Expenses'!$B$9,0)),0)</f>
        <v>0</v>
      </c>
      <c r="U228" s="202">
        <f t="shared" si="110"/>
        <v>0</v>
      </c>
      <c r="V228" s="293" t="str">
        <f t="shared" si="111"/>
        <v/>
      </c>
      <c r="Y228" s="128"/>
    </row>
    <row r="229" spans="1:25" ht="20.100000000000001" customHeight="1" x14ac:dyDescent="0.2">
      <c r="A229" s="116" t="s">
        <v>112</v>
      </c>
      <c r="B229" s="122">
        <v>90847</v>
      </c>
      <c r="C229" s="122"/>
      <c r="D229" s="123" t="str">
        <f t="array" ref="D229">IFERROR(INDEX('Crosswalk '!$C$9:$C$94,MATCH(1,(B229='Crosswalk '!$B$9:$B$94)*(E229='Crosswalk '!$G$9:$G$94),0)),"")</f>
        <v/>
      </c>
      <c r="E229" s="291" t="str">
        <f t="array" ref="E229">IFERROR(INDEX('Crosswalk '!$E$106:$E$125,MATCH(1,($A$216='Crosswalk '!$D$106:$D$125)*($C229='Crosswalk '!$F$106:$F$125),0)),"")</f>
        <v/>
      </c>
      <c r="F229" s="485"/>
      <c r="G229" s="185"/>
      <c r="H229" s="159" t="str">
        <f t="array" ref="H229">IFERROR(INDEX('Crosswalk '!$E$9:$E$103,MATCH(1,($B229='Crosswalk '!$B$9:$B$103)*($E229='Crosswalk '!$G$9:$G$103),0)),"")</f>
        <v/>
      </c>
      <c r="I229" s="125">
        <f t="shared" si="104"/>
        <v>0</v>
      </c>
      <c r="J229" s="126" t="str">
        <f t="shared" si="105"/>
        <v/>
      </c>
      <c r="K229" s="200">
        <f t="shared" si="106"/>
        <v>0</v>
      </c>
      <c r="L229" s="294">
        <f t="shared" si="109"/>
        <v>0</v>
      </c>
      <c r="M229" s="294">
        <f t="shared" si="107"/>
        <v>0</v>
      </c>
      <c r="N229" s="186">
        <f t="shared" si="108"/>
        <v>0</v>
      </c>
      <c r="O229" s="201" t="str">
        <f>IFERROR(ROUND(N229/'Direct Prof Sal &amp; Fringes  '!$L$8,8),"")</f>
        <v/>
      </c>
      <c r="P229" s="186" t="str">
        <f>IF(ISBLANK(O229),"",IFERROR(ROUND(O229*' Indirect Non-prof Sal &amp; Fringe'!$M$42,0),""))</f>
        <v/>
      </c>
      <c r="Q229" s="186" t="str">
        <f>IF(ISBLANK(O229),"",IFERROR(ROUND(O229*'Direct and Indirect Expenses'!$K$20,0),""))</f>
        <v/>
      </c>
      <c r="R229" s="309">
        <f>IFERROR(SUMIF('Direct and Indirect Expenses'!$B$14:$B$34,'Financial Summary &amp; Stats'!B229,'Direct and Indirect Expenses'!$H$14:$H$34)*N229/SUMIF('Financial Summary &amp; Stats'!$B:$B,'Financial Summary &amp; Stats'!B229,'Financial Summary &amp; Stats'!$N:$N),0)</f>
        <v>0</v>
      </c>
      <c r="S229" s="595"/>
      <c r="T229" s="202">
        <f>IFERROR(IF('Direct and Indirect Expenses'!$A$9="Other Indirect Allocation Method",(ROUND((N229+P229)/($N$8+$P$8)*'Direct and Indirect Expenses'!$C$9,0)),ROUND((N229+P229)*'Direct and Indirect Expenses'!$B$9,0)),0)</f>
        <v>0</v>
      </c>
      <c r="U229" s="202">
        <f t="shared" si="110"/>
        <v>0</v>
      </c>
      <c r="V229" s="293" t="str">
        <f t="shared" si="111"/>
        <v/>
      </c>
      <c r="Y229" s="128"/>
    </row>
    <row r="230" spans="1:25" ht="20.100000000000001" customHeight="1" x14ac:dyDescent="0.2">
      <c r="A230" s="116" t="s">
        <v>72</v>
      </c>
      <c r="B230" s="122">
        <v>90853</v>
      </c>
      <c r="C230" s="122"/>
      <c r="D230" s="123" t="str">
        <f t="array" ref="D230">IFERROR(INDEX('Crosswalk '!$C$9:$C$94,MATCH(1,(B230='Crosswalk '!$B$9:$B$94)*(E230='Crosswalk '!$G$9:$G$94),0)),"")</f>
        <v/>
      </c>
      <c r="E230" s="291" t="str">
        <f t="array" ref="E230">IFERROR(INDEX('Crosswalk '!$E$106:$E$125,MATCH(1,($A$216='Crosswalk '!$D$106:$D$125)*($C230='Crosswalk '!$F$106:$F$125),0)),"")</f>
        <v/>
      </c>
      <c r="F230" s="485"/>
      <c r="G230" s="488"/>
      <c r="H230" s="159" t="str">
        <f t="array" ref="H230">IFERROR(INDEX('Crosswalk '!$E$9:$E$103,MATCH(1,($B230='Crosswalk '!$B$9:$B$103)*($E230='Crosswalk '!$G$9:$G$103),0)),"")</f>
        <v/>
      </c>
      <c r="I230" s="166"/>
      <c r="J230" s="126" t="str">
        <f t="shared" si="105"/>
        <v/>
      </c>
      <c r="K230" s="200">
        <f t="shared" si="106"/>
        <v>0</v>
      </c>
      <c r="L230" s="294">
        <f t="shared" si="109"/>
        <v>0</v>
      </c>
      <c r="M230" s="294">
        <f t="shared" si="107"/>
        <v>0</v>
      </c>
      <c r="N230" s="186">
        <f t="shared" si="108"/>
        <v>0</v>
      </c>
      <c r="O230" s="201" t="str">
        <f>IFERROR(ROUND(N230/'Direct Prof Sal &amp; Fringes  '!$L$8,8),"")</f>
        <v/>
      </c>
      <c r="P230" s="186" t="str">
        <f>IF(ISBLANK(O230),"",IFERROR(ROUND(O230*' Indirect Non-prof Sal &amp; Fringe'!$M$42,0),""))</f>
        <v/>
      </c>
      <c r="Q230" s="186" t="str">
        <f>IF(ISBLANK(O230),"",IFERROR(ROUND(O230*'Direct and Indirect Expenses'!$K$20,0),""))</f>
        <v/>
      </c>
      <c r="R230" s="309">
        <f>IFERROR(SUMIF('Direct and Indirect Expenses'!$B$14:$B$34,'Financial Summary &amp; Stats'!B230,'Direct and Indirect Expenses'!$H$14:$H$34)*N230/SUMIF('Financial Summary &amp; Stats'!$B:$B,'Financial Summary &amp; Stats'!B230,'Financial Summary &amp; Stats'!$N:$N),0)</f>
        <v>0</v>
      </c>
      <c r="S230" s="595"/>
      <c r="T230" s="202">
        <f>IFERROR(IF('Direct and Indirect Expenses'!$A$9="Other Indirect Allocation Method",(ROUND((N230+P230)/($N$8+$P$8)*'Direct and Indirect Expenses'!$C$9,0)),ROUND((N230+P230)*'Direct and Indirect Expenses'!$B$9,0)),0)</f>
        <v>0</v>
      </c>
      <c r="U230" s="202">
        <f t="shared" si="110"/>
        <v>0</v>
      </c>
      <c r="V230" s="293" t="str">
        <f t="shared" si="111"/>
        <v/>
      </c>
      <c r="Y230" s="128"/>
    </row>
    <row r="231" spans="1:25" ht="20.100000000000001" customHeight="1" x14ac:dyDescent="0.2">
      <c r="A231" s="116" t="s">
        <v>127</v>
      </c>
      <c r="B231" s="122">
        <v>90832</v>
      </c>
      <c r="C231" s="122"/>
      <c r="D231" s="123" t="str">
        <f t="array" ref="D231">IFERROR(INDEX('Crosswalk '!$C$9:$C$94,MATCH(1,(B231='Crosswalk '!$B$9:$B$94)*(E231='Crosswalk '!$G$9:$G$94),0)),"")</f>
        <v/>
      </c>
      <c r="E231" s="291" t="str">
        <f t="array" ref="E231">IFERROR(INDEX('Crosswalk '!$E$106:$E$125,MATCH(1,($A$216='Crosswalk '!$D$106:$D$125)*($C231='Crosswalk '!$F$106:$F$125),0)),"")</f>
        <v/>
      </c>
      <c r="F231" s="485"/>
      <c r="G231" s="181"/>
      <c r="H231" s="159" t="str">
        <f t="array" ref="H231">IFERROR(INDEX('Crosswalk '!$E$9:$E$103,MATCH(1,($B231='Crosswalk '!$B$9:$B$103)*($E231='Crosswalk '!$G$9:$G$103),0)),"")</f>
        <v/>
      </c>
      <c r="I231" s="125">
        <f t="shared" ref="I231:I239" si="112">IFERROR(ROUND(F231*H231,2),0)</f>
        <v>0</v>
      </c>
      <c r="J231" s="126" t="str">
        <f t="shared" si="105"/>
        <v/>
      </c>
      <c r="K231" s="200">
        <f t="shared" si="106"/>
        <v>0</v>
      </c>
      <c r="L231" s="294">
        <f t="shared" si="109"/>
        <v>0</v>
      </c>
      <c r="M231" s="294">
        <f t="shared" si="107"/>
        <v>0</v>
      </c>
      <c r="N231" s="186">
        <f t="shared" si="108"/>
        <v>0</v>
      </c>
      <c r="O231" s="201" t="str">
        <f>IFERROR(ROUND(N231/'Direct Prof Sal &amp; Fringes  '!$L$8,8),"")</f>
        <v/>
      </c>
      <c r="P231" s="186" t="str">
        <f>IF(ISBLANK(O231),"",IFERROR(ROUND(O231*' Indirect Non-prof Sal &amp; Fringe'!$M$42,0),""))</f>
        <v/>
      </c>
      <c r="Q231" s="186" t="str">
        <f>IF(ISBLANK(O231),"",IFERROR(ROUND(O231*'Direct and Indirect Expenses'!$K$20,0),""))</f>
        <v/>
      </c>
      <c r="R231" s="309">
        <f>IFERROR(SUMIF('Direct and Indirect Expenses'!$B$14:$B$34,'Financial Summary &amp; Stats'!B231,'Direct and Indirect Expenses'!$H$14:$H$34)*N231/SUMIF('Financial Summary &amp; Stats'!$B:$B,'Financial Summary &amp; Stats'!B231,'Financial Summary &amp; Stats'!$N:$N),0)</f>
        <v>0</v>
      </c>
      <c r="S231" s="595"/>
      <c r="T231" s="202">
        <f>IFERROR(IF('Direct and Indirect Expenses'!$A$9="Other Indirect Allocation Method",(ROUND((N231+P231)/($N$8+$P$8)*'Direct and Indirect Expenses'!$C$9,0)),ROUND((N231+P231)*'Direct and Indirect Expenses'!$B$9,0)),0)</f>
        <v>0</v>
      </c>
      <c r="U231" s="202">
        <f t="shared" si="110"/>
        <v>0</v>
      </c>
      <c r="V231" s="293" t="str">
        <f t="shared" si="111"/>
        <v/>
      </c>
      <c r="Y231" s="128"/>
    </row>
    <row r="232" spans="1:25" ht="20.100000000000001" customHeight="1" x14ac:dyDescent="0.2">
      <c r="A232" s="116" t="s">
        <v>128</v>
      </c>
      <c r="B232" s="122">
        <v>90834</v>
      </c>
      <c r="C232" s="122"/>
      <c r="D232" s="123" t="str">
        <f t="array" ref="D232">IFERROR(INDEX('Crosswalk '!$C$9:$C$94,MATCH(1,(B232='Crosswalk '!$B$9:$B$94)*(E232='Crosswalk '!$G$9:$G$94),0)),"")</f>
        <v/>
      </c>
      <c r="E232" s="291" t="str">
        <f t="array" ref="E232">IFERROR(INDEX('Crosswalk '!$E$106:$E$125,MATCH(1,($A$216='Crosswalk '!$D$106:$D$125)*($C232='Crosswalk '!$F$106:$F$125),0)),"")</f>
        <v/>
      </c>
      <c r="F232" s="485"/>
      <c r="G232" s="181"/>
      <c r="H232" s="159" t="str">
        <f t="array" ref="H232">IFERROR(INDEX('Crosswalk '!$E$9:$E$103,MATCH(1,($B232='Crosswalk '!$B$9:$B$103)*($E232='Crosswalk '!$G$9:$G$103),0)),"")</f>
        <v/>
      </c>
      <c r="I232" s="125">
        <f t="shared" si="112"/>
        <v>0</v>
      </c>
      <c r="J232" s="126" t="str">
        <f t="shared" si="105"/>
        <v/>
      </c>
      <c r="K232" s="200">
        <f t="shared" si="106"/>
        <v>0</v>
      </c>
      <c r="L232" s="294">
        <f t="shared" si="109"/>
        <v>0</v>
      </c>
      <c r="M232" s="294">
        <f t="shared" si="107"/>
        <v>0</v>
      </c>
      <c r="N232" s="186">
        <f t="shared" si="108"/>
        <v>0</v>
      </c>
      <c r="O232" s="201" t="str">
        <f>IFERROR(ROUND(N232/'Direct Prof Sal &amp; Fringes  '!$L$8,8),"")</f>
        <v/>
      </c>
      <c r="P232" s="186" t="str">
        <f>IF(ISBLANK(O232),"",IFERROR(ROUND(O232*' Indirect Non-prof Sal &amp; Fringe'!$M$42,0),""))</f>
        <v/>
      </c>
      <c r="Q232" s="186" t="str">
        <f>IF(ISBLANK(O232),"",IFERROR(ROUND(O232*'Direct and Indirect Expenses'!$K$20,0),""))</f>
        <v/>
      </c>
      <c r="R232" s="309">
        <f>IFERROR(SUMIF('Direct and Indirect Expenses'!$B$14:$B$34,'Financial Summary &amp; Stats'!B232,'Direct and Indirect Expenses'!$H$14:$H$34)*N232/SUMIF('Financial Summary &amp; Stats'!$B:$B,'Financial Summary &amp; Stats'!B232,'Financial Summary &amp; Stats'!$N:$N),0)</f>
        <v>0</v>
      </c>
      <c r="S232" s="595"/>
      <c r="T232" s="202">
        <f>IFERROR(IF('Direct and Indirect Expenses'!$A$9="Other Indirect Allocation Method",(ROUND((N232+P232)/($N$8+$P$8)*'Direct and Indirect Expenses'!$C$9,0)),ROUND((N232+P232)*'Direct and Indirect Expenses'!$B$9,0)),0)</f>
        <v>0</v>
      </c>
      <c r="U232" s="202">
        <f t="shared" si="110"/>
        <v>0</v>
      </c>
      <c r="V232" s="293" t="str">
        <f t="shared" si="111"/>
        <v/>
      </c>
      <c r="Y232" s="128"/>
    </row>
    <row r="233" spans="1:25" ht="20.100000000000001" customHeight="1" x14ac:dyDescent="0.2">
      <c r="A233" s="116" t="s">
        <v>129</v>
      </c>
      <c r="B233" s="122">
        <v>90837</v>
      </c>
      <c r="C233" s="122"/>
      <c r="D233" s="123" t="str">
        <f t="array" ref="D233">IFERROR(INDEX('Crosswalk '!$C$9:$C$94,MATCH(1,(B233='Crosswalk '!$B$9:$B$94)*(E233='Crosswalk '!$G$9:$G$94),0)),"")</f>
        <v/>
      </c>
      <c r="E233" s="291" t="str">
        <f t="array" ref="E233">IFERROR(INDEX('Crosswalk '!$E$106:$E$125,MATCH(1,($A$216='Crosswalk '!$D$106:$D$125)*($C233='Crosswalk '!$F$106:$F$125),0)),"")</f>
        <v/>
      </c>
      <c r="F233" s="485"/>
      <c r="G233" s="181"/>
      <c r="H233" s="159" t="str">
        <f t="array" ref="H233">IFERROR(INDEX('Crosswalk '!$E$9:$E$103,MATCH(1,($B233='Crosswalk '!$B$9:$B$103)*($E233='Crosswalk '!$G$9:$G$103),0)),"")</f>
        <v/>
      </c>
      <c r="I233" s="125">
        <f t="shared" si="112"/>
        <v>0</v>
      </c>
      <c r="J233" s="126" t="str">
        <f t="shared" si="105"/>
        <v/>
      </c>
      <c r="K233" s="200">
        <f t="shared" si="106"/>
        <v>0</v>
      </c>
      <c r="L233" s="294">
        <f t="shared" si="109"/>
        <v>0</v>
      </c>
      <c r="M233" s="294">
        <f t="shared" si="107"/>
        <v>0</v>
      </c>
      <c r="N233" s="186">
        <f t="shared" si="108"/>
        <v>0</v>
      </c>
      <c r="O233" s="201" t="str">
        <f>IFERROR(ROUND(N233/'Direct Prof Sal &amp; Fringes  '!$L$8,8),"")</f>
        <v/>
      </c>
      <c r="P233" s="186" t="str">
        <f>IF(ISBLANK(O233),"",IFERROR(ROUND(O233*' Indirect Non-prof Sal &amp; Fringe'!$M$42,0),""))</f>
        <v/>
      </c>
      <c r="Q233" s="186" t="str">
        <f>IF(ISBLANK(O233),"",IFERROR(ROUND(O233*'Direct and Indirect Expenses'!$K$20,0),""))</f>
        <v/>
      </c>
      <c r="R233" s="309">
        <f>IFERROR(SUMIF('Direct and Indirect Expenses'!$B$14:$B$34,'Financial Summary &amp; Stats'!B233,'Direct and Indirect Expenses'!$H$14:$H$34)*N233/SUMIF('Financial Summary &amp; Stats'!$B:$B,'Financial Summary &amp; Stats'!B233,'Financial Summary &amp; Stats'!$N:$N),0)</f>
        <v>0</v>
      </c>
      <c r="S233" s="595"/>
      <c r="T233" s="202">
        <f>IFERROR(IF('Direct and Indirect Expenses'!$A$9="Other Indirect Allocation Method",(ROUND((N233+P233)/($N$8+$P$8)*'Direct and Indirect Expenses'!$C$9,0)),ROUND((N233+P233)*'Direct and Indirect Expenses'!$B$9,0)),0)</f>
        <v>0</v>
      </c>
      <c r="U233" s="202">
        <f t="shared" si="110"/>
        <v>0</v>
      </c>
      <c r="V233" s="293" t="str">
        <f t="shared" si="111"/>
        <v/>
      </c>
      <c r="Y233" s="128"/>
    </row>
    <row r="234" spans="1:25" ht="20.100000000000001" customHeight="1" x14ac:dyDescent="0.2">
      <c r="A234" s="116" t="s">
        <v>114</v>
      </c>
      <c r="B234" s="122" t="s">
        <v>113</v>
      </c>
      <c r="C234" s="122"/>
      <c r="D234" s="123" t="str">
        <f t="array" ref="D234">IFERROR(INDEX('Crosswalk '!$C$9:$C$94,MATCH(1,(B234='Crosswalk '!$B$9:$B$94)*(E234='Crosswalk '!$G$9:$G$94),0)),"")</f>
        <v/>
      </c>
      <c r="E234" s="291" t="str">
        <f t="array" ref="E234">IFERROR(INDEX('Crosswalk '!$E$106:$E$125,MATCH(1,($A$216='Crosswalk '!$D$106:$D$125)*($C234='Crosswalk '!$F$106:$F$125),0)),"")</f>
        <v/>
      </c>
      <c r="F234" s="485"/>
      <c r="G234" s="181"/>
      <c r="H234" s="159" t="str">
        <f t="array" ref="H234">IFERROR(INDEX('Crosswalk '!$E$9:$E$103,MATCH(1,($B234='Crosswalk '!$B$9:$B$103)*($E234='Crosswalk '!$G$9:$G$103),0)),"")</f>
        <v/>
      </c>
      <c r="I234" s="125">
        <f t="shared" si="112"/>
        <v>0</v>
      </c>
      <c r="J234" s="126" t="str">
        <f t="shared" si="105"/>
        <v/>
      </c>
      <c r="K234" s="200">
        <f t="shared" si="106"/>
        <v>0</v>
      </c>
      <c r="L234" s="294">
        <f t="shared" si="109"/>
        <v>0</v>
      </c>
      <c r="M234" s="294">
        <f t="shared" si="107"/>
        <v>0</v>
      </c>
      <c r="N234" s="186">
        <f t="shared" si="108"/>
        <v>0</v>
      </c>
      <c r="O234" s="201" t="str">
        <f>IFERROR(ROUND(N234/'Direct Prof Sal &amp; Fringes  '!$L$8,8),"")</f>
        <v/>
      </c>
      <c r="P234" s="186" t="str">
        <f>IF(ISBLANK(O234),"",IFERROR(ROUND(O234*' Indirect Non-prof Sal &amp; Fringe'!$M$42,0),""))</f>
        <v/>
      </c>
      <c r="Q234" s="186" t="str">
        <f>IF(ISBLANK(O234),"",IFERROR(ROUND(O234*'Direct and Indirect Expenses'!$K$20,0),""))</f>
        <v/>
      </c>
      <c r="R234" s="309">
        <f>IFERROR(SUMIF('Direct and Indirect Expenses'!$B$14:$B$34,'Financial Summary &amp; Stats'!B234,'Direct and Indirect Expenses'!$H$14:$H$34)*N234/SUMIF('Financial Summary &amp; Stats'!$B:$B,'Financial Summary &amp; Stats'!B234,'Financial Summary &amp; Stats'!$N:$N),0)</f>
        <v>0</v>
      </c>
      <c r="S234" s="595"/>
      <c r="T234" s="202">
        <f>IFERROR(IF('Direct and Indirect Expenses'!$A$9="Other Indirect Allocation Method",(ROUND((N234+P234)/($N$8+$P$8)*'Direct and Indirect Expenses'!$C$9,0)),ROUND((N234+P234)*'Direct and Indirect Expenses'!$B$9,0)),0)</f>
        <v>0</v>
      </c>
      <c r="U234" s="202">
        <f t="shared" si="110"/>
        <v>0</v>
      </c>
      <c r="V234" s="293" t="str">
        <f t="shared" si="111"/>
        <v/>
      </c>
      <c r="Y234" s="128"/>
    </row>
    <row r="235" spans="1:25" ht="20.100000000000001" customHeight="1" x14ac:dyDescent="0.2">
      <c r="A235" s="116" t="s">
        <v>130</v>
      </c>
      <c r="B235" s="122">
        <v>90849</v>
      </c>
      <c r="C235" s="122"/>
      <c r="D235" s="123" t="str">
        <f t="array" ref="D235">IFERROR(INDEX('Crosswalk '!$C$9:$C$94,MATCH(1,(B235='Crosswalk '!$B$9:$B$94)*(E235='Crosswalk '!$G$9:$G$94),0)),"")</f>
        <v/>
      </c>
      <c r="E235" s="291" t="str">
        <f t="array" ref="E235">IFERROR(INDEX('Crosswalk '!$E$106:$E$125,MATCH(1,($A$216='Crosswalk '!$D$106:$D$125)*($C235='Crosswalk '!$F$106:$F$125),0)),"")</f>
        <v/>
      </c>
      <c r="F235" s="485"/>
      <c r="G235" s="181"/>
      <c r="H235" s="159" t="str">
        <f t="array" ref="H235">IFERROR(INDEX('Crosswalk '!$E$9:$E$103,MATCH(1,($B235='Crosswalk '!$B$9:$B$103)*($E235='Crosswalk '!$G$9:$G$103),0)),"")</f>
        <v/>
      </c>
      <c r="I235" s="125">
        <f t="shared" si="112"/>
        <v>0</v>
      </c>
      <c r="J235" s="126" t="str">
        <f t="shared" si="105"/>
        <v/>
      </c>
      <c r="K235" s="200">
        <f t="shared" si="106"/>
        <v>0</v>
      </c>
      <c r="L235" s="294">
        <f t="shared" si="109"/>
        <v>0</v>
      </c>
      <c r="M235" s="294">
        <f t="shared" si="107"/>
        <v>0</v>
      </c>
      <c r="N235" s="186">
        <f t="shared" si="108"/>
        <v>0</v>
      </c>
      <c r="O235" s="201" t="str">
        <f>IFERROR(ROUND(N235/'Direct Prof Sal &amp; Fringes  '!$L$8,8),"")</f>
        <v/>
      </c>
      <c r="P235" s="186" t="str">
        <f>IF(ISBLANK(O235),"",IFERROR(ROUND(O235*' Indirect Non-prof Sal &amp; Fringe'!$M$42,0),""))</f>
        <v/>
      </c>
      <c r="Q235" s="186" t="str">
        <f>IF(ISBLANK(O235),"",IFERROR(ROUND(O235*'Direct and Indirect Expenses'!$K$20,0),""))</f>
        <v/>
      </c>
      <c r="R235" s="309">
        <f>IFERROR(SUMIF('Direct and Indirect Expenses'!$B$14:$B$34,'Financial Summary &amp; Stats'!B235,'Direct and Indirect Expenses'!$H$14:$H$34)*N235/SUMIF('Financial Summary &amp; Stats'!$B:$B,'Financial Summary &amp; Stats'!B235,'Financial Summary &amp; Stats'!$N:$N),0)</f>
        <v>0</v>
      </c>
      <c r="S235" s="595"/>
      <c r="T235" s="202">
        <f>IFERROR(IF('Direct and Indirect Expenses'!$A$9="Other Indirect Allocation Method",(ROUND((N235+P235)/($N$8+$P$8)*'Direct and Indirect Expenses'!$C$9,0)),ROUND((N235+P235)*'Direct and Indirect Expenses'!$B$9,0)),0)</f>
        <v>0</v>
      </c>
      <c r="U235" s="202">
        <f t="shared" si="110"/>
        <v>0</v>
      </c>
      <c r="V235" s="293" t="str">
        <f t="shared" si="111"/>
        <v/>
      </c>
      <c r="Y235" s="128"/>
    </row>
    <row r="236" spans="1:25" ht="20.100000000000001" customHeight="1" x14ac:dyDescent="0.2">
      <c r="A236" s="116" t="s">
        <v>83</v>
      </c>
      <c r="B236" s="122" t="s">
        <v>84</v>
      </c>
      <c r="C236" s="122"/>
      <c r="D236" s="123">
        <f t="array" ref="D236">IFERROR(INDEX('Crosswalk '!$C$9:$C$94,MATCH(1,(B236='Crosswalk '!$B$9:$B$94)*(E236='Crosswalk '!$G$9:$G$94),0)),"")</f>
        <v>0</v>
      </c>
      <c r="E236" s="291" t="str">
        <f t="array" ref="E236">IFERROR(INDEX('Crosswalk '!$E$106:$E$125,MATCH(1,($A$216='Crosswalk '!$D$106:$D$125)*($C236='Crosswalk '!$F$106:$F$125),0)),"")</f>
        <v/>
      </c>
      <c r="F236" s="485"/>
      <c r="G236" s="181"/>
      <c r="H236" s="159">
        <f t="array" ref="H236">IFERROR(INDEX('Crosswalk '!$E$9:$E$103,MATCH(1,($B236='Crosswalk '!$B$9:$B$103)*($E236='Crosswalk '!$G$9:$G$103),0)),"")</f>
        <v>0.25</v>
      </c>
      <c r="I236" s="125">
        <f t="shared" si="112"/>
        <v>0</v>
      </c>
      <c r="J236" s="126">
        <f t="shared" si="105"/>
        <v>0</v>
      </c>
      <c r="K236" s="200">
        <f t="shared" si="106"/>
        <v>0</v>
      </c>
      <c r="L236" s="294">
        <f t="shared" si="109"/>
        <v>0</v>
      </c>
      <c r="M236" s="294">
        <f t="shared" si="107"/>
        <v>0</v>
      </c>
      <c r="N236" s="186">
        <f t="shared" si="108"/>
        <v>0</v>
      </c>
      <c r="O236" s="201" t="str">
        <f>IFERROR(ROUND(N236/'Direct Prof Sal &amp; Fringes  '!$L$8,8),"")</f>
        <v/>
      </c>
      <c r="P236" s="186" t="str">
        <f>IF(ISBLANK(O236),"",IFERROR(ROUND(O236*' Indirect Non-prof Sal &amp; Fringe'!$M$42,0),""))</f>
        <v/>
      </c>
      <c r="Q236" s="186" t="str">
        <f>IF(ISBLANK(O236),"",IFERROR(ROUND(O236*'Direct and Indirect Expenses'!$K$20,0),""))</f>
        <v/>
      </c>
      <c r="R236" s="309">
        <f>IFERROR(SUMIF('Direct and Indirect Expenses'!$B$14:$B$34,'Financial Summary &amp; Stats'!B236,'Direct and Indirect Expenses'!$H$14:$H$34)*N236/SUMIF('Financial Summary &amp; Stats'!$B:$B,'Financial Summary &amp; Stats'!B236,'Financial Summary &amp; Stats'!$N:$N),0)</f>
        <v>0</v>
      </c>
      <c r="S236" s="595"/>
      <c r="T236" s="202">
        <f>IFERROR(IF('Direct and Indirect Expenses'!$A$9="Other Indirect Allocation Method",(ROUND((N236+P236)/($N$8+$P$8)*'Direct and Indirect Expenses'!$C$9,0)),ROUND((N236+P236)*'Direct and Indirect Expenses'!$B$9,0)),0)</f>
        <v>0</v>
      </c>
      <c r="U236" s="202">
        <f t="shared" si="110"/>
        <v>0</v>
      </c>
      <c r="V236" s="293" t="str">
        <f t="shared" si="111"/>
        <v/>
      </c>
      <c r="Y236" s="128"/>
    </row>
    <row r="237" spans="1:25" ht="20.100000000000001" customHeight="1" x14ac:dyDescent="0.2">
      <c r="A237" s="116" t="s">
        <v>132</v>
      </c>
      <c r="B237" s="122">
        <v>90792</v>
      </c>
      <c r="C237" s="122"/>
      <c r="D237" s="123" t="str">
        <f t="array" ref="D237">IFERROR(INDEX('Crosswalk '!$C$9:$C$94,MATCH(1,(B237='Crosswalk '!$B$9:$B$94)*(E237='Crosswalk '!$G$9:$G$94),0)),"")</f>
        <v/>
      </c>
      <c r="E237" s="291" t="str">
        <f t="array" ref="E237">IFERROR(INDEX('Crosswalk '!$E$106:$E$125,MATCH(1,($A$216='Crosswalk '!$D$106:$D$125)*($C237='Crosswalk '!$F$106:$F$125),0)),"")</f>
        <v/>
      </c>
      <c r="F237" s="485"/>
      <c r="G237" s="181"/>
      <c r="H237" s="159" t="str">
        <f t="array" ref="H237">IFERROR(INDEX('Crosswalk '!$E$9:$E$103,MATCH(1,($B237='Crosswalk '!$B$9:$B$103)*($E237='Crosswalk '!$G$9:$G$103),0)),"")</f>
        <v/>
      </c>
      <c r="I237" s="125">
        <f t="shared" si="112"/>
        <v>0</v>
      </c>
      <c r="J237" s="126" t="str">
        <f t="shared" si="105"/>
        <v/>
      </c>
      <c r="K237" s="200">
        <f t="shared" si="106"/>
        <v>0</v>
      </c>
      <c r="L237" s="294">
        <f t="shared" si="109"/>
        <v>0</v>
      </c>
      <c r="M237" s="294">
        <f t="shared" si="107"/>
        <v>0</v>
      </c>
      <c r="N237" s="186">
        <f t="shared" si="108"/>
        <v>0</v>
      </c>
      <c r="O237" s="201" t="str">
        <f>IFERROR(ROUND(N237/'Direct Prof Sal &amp; Fringes  '!$L$8,8),"")</f>
        <v/>
      </c>
      <c r="P237" s="186" t="str">
        <f>IF(ISBLANK(O237),"",IFERROR(ROUND(O237*' Indirect Non-prof Sal &amp; Fringe'!$M$42,0),""))</f>
        <v/>
      </c>
      <c r="Q237" s="186" t="str">
        <f>IF(ISBLANK(O237),"",IFERROR(ROUND(O237*'Direct and Indirect Expenses'!$K$20,0),""))</f>
        <v/>
      </c>
      <c r="R237" s="309">
        <f>IFERROR(SUMIF('Direct and Indirect Expenses'!$B$14:$B$34,'Financial Summary &amp; Stats'!B237,'Direct and Indirect Expenses'!$H$14:$H$34)*N237/SUMIF('Financial Summary &amp; Stats'!$B:$B,'Financial Summary &amp; Stats'!B237,'Financial Summary &amp; Stats'!$N:$N),0)</f>
        <v>0</v>
      </c>
      <c r="S237" s="595"/>
      <c r="T237" s="202">
        <f>IFERROR(IF('Direct and Indirect Expenses'!$A$9="Other Indirect Allocation Method",(ROUND((N237+P237)/($N$8+$P$8)*'Direct and Indirect Expenses'!$C$9,0)),ROUND((N237+P237)*'Direct and Indirect Expenses'!$B$9,0)),0)</f>
        <v>0</v>
      </c>
      <c r="U237" s="202">
        <f t="shared" si="110"/>
        <v>0</v>
      </c>
      <c r="V237" s="293" t="str">
        <f t="shared" si="111"/>
        <v/>
      </c>
      <c r="Y237" s="128"/>
    </row>
    <row r="238" spans="1:25" ht="20.100000000000001" customHeight="1" x14ac:dyDescent="0.2">
      <c r="A238" s="116" t="s">
        <v>131</v>
      </c>
      <c r="B238" s="122">
        <v>90791</v>
      </c>
      <c r="C238" s="122"/>
      <c r="D238" s="123" t="str">
        <f t="array" ref="D238">IFERROR(INDEX('Crosswalk '!$C$9:$C$94,MATCH(1,(B238='Crosswalk '!$B$9:$B$94)*(E238='Crosswalk '!$G$9:$G$94),0)),"")</f>
        <v/>
      </c>
      <c r="E238" s="291" t="str">
        <f t="array" ref="E238">IFERROR(INDEX('Crosswalk '!$E$106:$E$125,MATCH(1,($A$216='Crosswalk '!$D$106:$D$125)*($C238='Crosswalk '!$F$106:$F$125),0)),"")</f>
        <v/>
      </c>
      <c r="F238" s="485"/>
      <c r="G238" s="181"/>
      <c r="H238" s="159" t="str">
        <f t="array" ref="H238">IFERROR(INDEX('Crosswalk '!$E$9:$E$103,MATCH(1,($B238='Crosswalk '!$B$9:$B$103)*($E238='Crosswalk '!$G$9:$G$103),0)),"")</f>
        <v/>
      </c>
      <c r="I238" s="125">
        <f t="shared" si="112"/>
        <v>0</v>
      </c>
      <c r="J238" s="126" t="str">
        <f t="shared" si="105"/>
        <v/>
      </c>
      <c r="K238" s="200">
        <f t="shared" si="106"/>
        <v>0</v>
      </c>
      <c r="L238" s="294">
        <f t="shared" si="109"/>
        <v>0</v>
      </c>
      <c r="M238" s="294">
        <f t="shared" si="107"/>
        <v>0</v>
      </c>
      <c r="N238" s="186">
        <f t="shared" si="108"/>
        <v>0</v>
      </c>
      <c r="O238" s="201" t="str">
        <f>IFERROR(ROUND(N238/'Direct Prof Sal &amp; Fringes  '!$L$8,8),"")</f>
        <v/>
      </c>
      <c r="P238" s="186" t="str">
        <f>IF(ISBLANK(O238),"",IFERROR(ROUND(O238*' Indirect Non-prof Sal &amp; Fringe'!$M$42,0),""))</f>
        <v/>
      </c>
      <c r="Q238" s="186" t="str">
        <f>IF(ISBLANK(O238),"",IFERROR(ROUND(O238*'Direct and Indirect Expenses'!$K$20,0),""))</f>
        <v/>
      </c>
      <c r="R238" s="309">
        <f>IFERROR(SUMIF('Direct and Indirect Expenses'!$B$14:$B$34,'Financial Summary &amp; Stats'!B238,'Direct and Indirect Expenses'!$H$14:$H$34)*N238/SUMIF('Financial Summary &amp; Stats'!$B:$B,'Financial Summary &amp; Stats'!B238,'Financial Summary &amp; Stats'!$N:$N),0)</f>
        <v>0</v>
      </c>
      <c r="S238" s="595"/>
      <c r="T238" s="202">
        <f>IFERROR(IF('Direct and Indirect Expenses'!$A$9="Other Indirect Allocation Method",(ROUND((N238+P238)/($N$8+$P$8)*'Direct and Indirect Expenses'!$C$9,0)),ROUND((N238+P238)*'Direct and Indirect Expenses'!$B$9,0)),0)</f>
        <v>0</v>
      </c>
      <c r="U238" s="202">
        <f t="shared" si="110"/>
        <v>0</v>
      </c>
      <c r="V238" s="293" t="str">
        <f t="shared" si="111"/>
        <v/>
      </c>
      <c r="Y238" s="128"/>
    </row>
    <row r="239" spans="1:25" ht="20.100000000000001" customHeight="1" x14ac:dyDescent="0.2">
      <c r="A239" s="116" t="s">
        <v>116</v>
      </c>
      <c r="B239" s="122" t="s">
        <v>85</v>
      </c>
      <c r="C239" s="122" t="s">
        <v>195</v>
      </c>
      <c r="D239" s="123" t="str">
        <f t="array" ref="D239">IFERROR(INDEX('Crosswalk '!$C$9:$C$94,MATCH(1,(B239='Crosswalk '!$B$9:$B$94)*(E239='Crosswalk '!$G$9:$G$94),0)),"")</f>
        <v/>
      </c>
      <c r="E239" s="291" t="str">
        <f t="array" ref="E239">IFERROR(INDEX('Crosswalk '!$E$106:$E$125,MATCH(1,($A$216='Crosswalk '!$D$106:$D$125)*($C239='Crosswalk '!$F$106:$F$125),0)),"")</f>
        <v/>
      </c>
      <c r="F239" s="485"/>
      <c r="G239" s="181"/>
      <c r="H239" s="159" t="str">
        <f t="array" ref="H239">IFERROR(INDEX('Crosswalk '!$E$9:$E$103,MATCH(1,($B239='Crosswalk '!$B$9:$B$103)*($E239='Crosswalk '!$G$9:$G$103),0)),"")</f>
        <v/>
      </c>
      <c r="I239" s="125">
        <f t="shared" si="112"/>
        <v>0</v>
      </c>
      <c r="J239" s="126" t="str">
        <f t="shared" si="105"/>
        <v/>
      </c>
      <c r="K239" s="200">
        <f t="shared" si="106"/>
        <v>0</v>
      </c>
      <c r="L239" s="294">
        <f t="shared" si="109"/>
        <v>0</v>
      </c>
      <c r="M239" s="294">
        <f t="shared" si="107"/>
        <v>0</v>
      </c>
      <c r="N239" s="186">
        <f t="shared" si="108"/>
        <v>0</v>
      </c>
      <c r="O239" s="201" t="str">
        <f>IFERROR(ROUND(N239/'Direct Prof Sal &amp; Fringes  '!$L$8,8),"")</f>
        <v/>
      </c>
      <c r="P239" s="186" t="str">
        <f>IF(ISBLANK(O239),"",IFERROR(ROUND(O239*' Indirect Non-prof Sal &amp; Fringe'!$M$42,0),""))</f>
        <v/>
      </c>
      <c r="Q239" s="186" t="str">
        <f>IF(ISBLANK(O239),"",IFERROR(ROUND(O239*'Direct and Indirect Expenses'!$K$20,0),""))</f>
        <v/>
      </c>
      <c r="R239" s="309">
        <f>IFERROR(SUMIF('Direct and Indirect Expenses'!$B$14:$B$34,'Financial Summary &amp; Stats'!B239,'Direct and Indirect Expenses'!$H$14:$H$34)*N239/SUMIF('Financial Summary &amp; Stats'!$B:$B,'Financial Summary &amp; Stats'!B239,'Financial Summary &amp; Stats'!$N:$N),0)</f>
        <v>0</v>
      </c>
      <c r="S239" s="595"/>
      <c r="T239" s="202">
        <f>IFERROR(IF('Direct and Indirect Expenses'!$A$9="Other Indirect Allocation Method",(ROUND((N239+P239)/($N$8+$P$8)*'Direct and Indirect Expenses'!$C$9,0)),ROUND((N239+P239)*'Direct and Indirect Expenses'!$B$9,0)),0)</f>
        <v>0</v>
      </c>
      <c r="U239" s="202">
        <f t="shared" si="110"/>
        <v>0</v>
      </c>
      <c r="V239" s="293" t="str">
        <f t="shared" si="111"/>
        <v/>
      </c>
      <c r="Y239" s="128"/>
    </row>
    <row r="240" spans="1:25" ht="20.100000000000001" customHeight="1" x14ac:dyDescent="0.2">
      <c r="A240" s="116" t="s">
        <v>116</v>
      </c>
      <c r="B240" s="122" t="s">
        <v>85</v>
      </c>
      <c r="C240" s="122" t="s">
        <v>196</v>
      </c>
      <c r="D240" s="123" t="str">
        <f t="array" ref="D240">IFERROR(INDEX('Crosswalk '!$C$9:$C$94,MATCH(1,(B240='Crosswalk '!$B$9:$B$94)*(E240='Crosswalk '!$G$9:$G$94),0)),"")</f>
        <v/>
      </c>
      <c r="E240" s="291" t="str">
        <f t="array" ref="E240">IFERROR(INDEX('Crosswalk '!$E$106:$E$125,MATCH(1,($A$216='Crosswalk '!$D$106:$D$125)*($C240='Crosswalk '!$F$106:$F$125),0)),"")</f>
        <v/>
      </c>
      <c r="F240" s="485"/>
      <c r="G240" s="488"/>
      <c r="H240" s="159" t="str">
        <f t="array" ref="H240">IFERROR(INDEX('Crosswalk '!$E$9:$E$103,MATCH(1,($B240='Crosswalk '!$B$9:$B$103)*($E240='Crosswalk '!$G$9:$G$103),0)),"")</f>
        <v/>
      </c>
      <c r="I240" s="166"/>
      <c r="J240" s="126" t="str">
        <f t="shared" si="105"/>
        <v/>
      </c>
      <c r="K240" s="200">
        <f t="shared" si="106"/>
        <v>0</v>
      </c>
      <c r="L240" s="294">
        <f t="shared" si="109"/>
        <v>0</v>
      </c>
      <c r="M240" s="294">
        <f t="shared" si="107"/>
        <v>0</v>
      </c>
      <c r="N240" s="186">
        <f t="shared" si="108"/>
        <v>0</v>
      </c>
      <c r="O240" s="201" t="str">
        <f>IFERROR(ROUND(N240/'Direct Prof Sal &amp; Fringes  '!$L$8,8),"")</f>
        <v/>
      </c>
      <c r="P240" s="186" t="str">
        <f>IF(ISBLANK(O240),"",IFERROR(ROUND(O240*' Indirect Non-prof Sal &amp; Fringe'!$M$42,0),""))</f>
        <v/>
      </c>
      <c r="Q240" s="186" t="str">
        <f>IF(ISBLANK(O240),"",IFERROR(ROUND(O240*'Direct and Indirect Expenses'!$K$20,0),""))</f>
        <v/>
      </c>
      <c r="R240" s="309">
        <f>IFERROR(SUMIF('Direct and Indirect Expenses'!$B$14:$B$34,'Financial Summary &amp; Stats'!B240,'Direct and Indirect Expenses'!$H$14:$H$34)*N240/SUMIF('Financial Summary &amp; Stats'!$B:$B,'Financial Summary &amp; Stats'!B240,'Financial Summary &amp; Stats'!$N:$N),0)</f>
        <v>0</v>
      </c>
      <c r="S240" s="595"/>
      <c r="T240" s="202">
        <f>IFERROR(IF('Direct and Indirect Expenses'!$A$9="Other Indirect Allocation Method",(ROUND((N240+P240)/($N$8+$P$8)*'Direct and Indirect Expenses'!$C$9,0)),ROUND((N240+P240)*'Direct and Indirect Expenses'!$B$9,0)),0)</f>
        <v>0</v>
      </c>
      <c r="U240" s="202">
        <f t="shared" si="110"/>
        <v>0</v>
      </c>
      <c r="V240" s="293" t="str">
        <f t="shared" si="111"/>
        <v/>
      </c>
      <c r="Y240" s="128"/>
    </row>
    <row r="241" spans="1:25" ht="20.100000000000001" customHeight="1" x14ac:dyDescent="0.2">
      <c r="A241" s="116" t="s">
        <v>116</v>
      </c>
      <c r="B241" s="122" t="s">
        <v>85</v>
      </c>
      <c r="C241" s="122"/>
      <c r="D241" s="123" t="str">
        <f t="array" ref="D241">IFERROR(INDEX('Crosswalk '!$C$9:$C$94,MATCH(1,(B241='Crosswalk '!$B$9:$B$94)*(E241='Crosswalk '!$G$9:$G$94),0)),"")</f>
        <v/>
      </c>
      <c r="E241" s="291" t="str">
        <f t="array" ref="E241">IFERROR(INDEX('Crosswalk '!$E$106:$E$125,MATCH(1,($A$216='Crosswalk '!$D$106:$D$125)*($C241='Crosswalk '!$F$106:$F$125),0)),"")</f>
        <v/>
      </c>
      <c r="F241" s="485"/>
      <c r="G241" s="488"/>
      <c r="H241" s="159" t="str">
        <f t="array" ref="H241">IFERROR(INDEX('Crosswalk '!$E$9:$E$103,MATCH(1,($B241='Crosswalk '!$B$9:$B$103)*($E241='Crosswalk '!$G$9:$G$103),0)),"")</f>
        <v/>
      </c>
      <c r="I241" s="166"/>
      <c r="J241" s="126" t="str">
        <f t="shared" si="105"/>
        <v/>
      </c>
      <c r="K241" s="200">
        <f t="shared" si="106"/>
        <v>0</v>
      </c>
      <c r="L241" s="294">
        <f t="shared" si="109"/>
        <v>0</v>
      </c>
      <c r="M241" s="294">
        <f t="shared" si="107"/>
        <v>0</v>
      </c>
      <c r="N241" s="186">
        <f t="shared" si="108"/>
        <v>0</v>
      </c>
      <c r="O241" s="201" t="str">
        <f>IFERROR(ROUND(N241/'Direct Prof Sal &amp; Fringes  '!$L$8,8),"")</f>
        <v/>
      </c>
      <c r="P241" s="186" t="str">
        <f>IF(ISBLANK(O241),"",IFERROR(ROUND(O241*' Indirect Non-prof Sal &amp; Fringe'!$M$42,0),""))</f>
        <v/>
      </c>
      <c r="Q241" s="186" t="str">
        <f>IF(ISBLANK(O241),"",IFERROR(ROUND(O241*'Direct and Indirect Expenses'!$K$20,0),""))</f>
        <v/>
      </c>
      <c r="R241" s="309">
        <f>IFERROR(SUMIF('Direct and Indirect Expenses'!$B$14:$B$34,'Financial Summary &amp; Stats'!B241,'Direct and Indirect Expenses'!$H$14:$H$34)*N241/SUMIF('Financial Summary &amp; Stats'!$B:$B,'Financial Summary &amp; Stats'!B241,'Financial Summary &amp; Stats'!$N:$N),0)</f>
        <v>0</v>
      </c>
      <c r="S241" s="595"/>
      <c r="T241" s="202">
        <f>IFERROR(IF('Direct and Indirect Expenses'!$A$9="Other Indirect Allocation Method",(ROUND((N241+P241)/($N$8+$P$8)*'Direct and Indirect Expenses'!$C$9,0)),ROUND((N241+P241)*'Direct and Indirect Expenses'!$B$9,0)),0)</f>
        <v>0</v>
      </c>
      <c r="U241" s="202">
        <f t="shared" si="110"/>
        <v>0</v>
      </c>
      <c r="V241" s="293" t="str">
        <f t="shared" si="111"/>
        <v/>
      </c>
      <c r="Y241" s="128"/>
    </row>
    <row r="242" spans="1:25" ht="20.100000000000001" customHeight="1" x14ac:dyDescent="0.2">
      <c r="A242" s="116" t="s">
        <v>110</v>
      </c>
      <c r="B242" s="122" t="s">
        <v>73</v>
      </c>
      <c r="C242" s="122"/>
      <c r="D242" s="123" t="str">
        <f t="array" ref="D242">IFERROR(INDEX('Crosswalk '!$C$9:$C$94,MATCH(1,(B242='Crosswalk '!$B$9:$B$94)*(E242='Crosswalk '!$G$9:$G$94),0)),"")</f>
        <v/>
      </c>
      <c r="E242" s="291" t="str">
        <f t="array" ref="E242">IFERROR(INDEX('Crosswalk '!$E$106:$E$125,MATCH(1,($A$216='Crosswalk '!$D$106:$D$125)*($C242='Crosswalk '!$F$106:$F$125),0)),"")</f>
        <v/>
      </c>
      <c r="F242" s="485"/>
      <c r="G242" s="181"/>
      <c r="H242" s="159" t="str">
        <f t="array" ref="H242">IFERROR(INDEX('Crosswalk '!$E$9:$E$103,MATCH(1,($B242='Crosswalk '!$B$9:$B$103)*($E242='Crosswalk '!$G$9:$G$103),0)),"")</f>
        <v/>
      </c>
      <c r="I242" s="125">
        <f t="shared" ref="I242:I244" si="113">IFERROR(ROUND(F242*H242,2),0)</f>
        <v>0</v>
      </c>
      <c r="J242" s="126" t="str">
        <f t="shared" si="105"/>
        <v/>
      </c>
      <c r="K242" s="200">
        <f t="shared" si="106"/>
        <v>0</v>
      </c>
      <c r="L242" s="294">
        <f t="shared" si="109"/>
        <v>0</v>
      </c>
      <c r="M242" s="294">
        <f t="shared" si="107"/>
        <v>0</v>
      </c>
      <c r="N242" s="186">
        <f t="shared" si="108"/>
        <v>0</v>
      </c>
      <c r="O242" s="201" t="str">
        <f>IFERROR(ROUND(N242/'Direct Prof Sal &amp; Fringes  '!$L$8,8),"")</f>
        <v/>
      </c>
      <c r="P242" s="186" t="str">
        <f>IF(ISBLANK(O242),"",IFERROR(ROUND(O242*' Indirect Non-prof Sal &amp; Fringe'!$M$42,0),""))</f>
        <v/>
      </c>
      <c r="Q242" s="186" t="str">
        <f>IF(ISBLANK(O242),"",IFERROR(ROUND(O242*'Direct and Indirect Expenses'!$K$20,0),""))</f>
        <v/>
      </c>
      <c r="R242" s="309">
        <f>IFERROR(SUMIF('Direct and Indirect Expenses'!$B$14:$B$34,'Financial Summary &amp; Stats'!B242,'Direct and Indirect Expenses'!$H$14:$H$34)*N242/SUMIF('Financial Summary &amp; Stats'!$B:$B,'Financial Summary &amp; Stats'!B242,'Financial Summary &amp; Stats'!$N:$N),0)</f>
        <v>0</v>
      </c>
      <c r="S242" s="595"/>
      <c r="T242" s="202">
        <f>IFERROR(IF('Direct and Indirect Expenses'!$A$9="Other Indirect Allocation Method",(ROUND((N242+P242)/($N$8+$P$8)*'Direct and Indirect Expenses'!$C$9,0)),ROUND((N242+P242)*'Direct and Indirect Expenses'!$B$9,0)),0)</f>
        <v>0</v>
      </c>
      <c r="U242" s="202">
        <f t="shared" si="110"/>
        <v>0</v>
      </c>
      <c r="V242" s="293" t="str">
        <f t="shared" si="111"/>
        <v/>
      </c>
      <c r="Y242" s="128"/>
    </row>
    <row r="243" spans="1:25" ht="20.100000000000001" customHeight="1" x14ac:dyDescent="0.2">
      <c r="A243" s="116" t="s">
        <v>109</v>
      </c>
      <c r="B243" s="122">
        <v>99367</v>
      </c>
      <c r="C243" s="122"/>
      <c r="D243" s="123">
        <f t="array" ref="D243">IFERROR(INDEX('Crosswalk '!$C$9:$C$94,MATCH(1,(B243='Crosswalk '!$B$9:$B$94)*(E243='Crosswalk '!$G$9:$G$94),0)),"")</f>
        <v>0</v>
      </c>
      <c r="E243" s="159" t="s">
        <v>142</v>
      </c>
      <c r="F243" s="485"/>
      <c r="G243" s="181"/>
      <c r="H243" s="159">
        <f t="array" ref="H243">IFERROR(INDEX('Crosswalk '!$E$9:$E$103,MATCH(1,($B243='Crosswalk '!$B$9:$B$103)*($E243='Crosswalk '!$G$9:$G$103),0)),"")</f>
        <v>0.5</v>
      </c>
      <c r="I243" s="125">
        <f t="shared" si="113"/>
        <v>0</v>
      </c>
      <c r="J243" s="126">
        <f t="shared" si="105"/>
        <v>0</v>
      </c>
      <c r="K243" s="200">
        <f t="shared" si="106"/>
        <v>0</v>
      </c>
      <c r="L243" s="294">
        <f t="shared" si="109"/>
        <v>0</v>
      </c>
      <c r="M243" s="294">
        <f t="shared" si="107"/>
        <v>0</v>
      </c>
      <c r="N243" s="186">
        <f t="shared" si="108"/>
        <v>0</v>
      </c>
      <c r="O243" s="201" t="str">
        <f>IFERROR(ROUND(N243/'Direct Prof Sal &amp; Fringes  '!$L$8,8),"")</f>
        <v/>
      </c>
      <c r="P243" s="186" t="str">
        <f>IF(ISBLANK(O243),"",IFERROR(ROUND(O243*' Indirect Non-prof Sal &amp; Fringe'!$M$42,0),""))</f>
        <v/>
      </c>
      <c r="Q243" s="186" t="str">
        <f>IF(ISBLANK(O243),"",IFERROR(ROUND(O243*'Direct and Indirect Expenses'!$K$20,0),""))</f>
        <v/>
      </c>
      <c r="R243" s="309">
        <f>IFERROR(SUMIF('Direct and Indirect Expenses'!$B$14:$B$34,'Financial Summary &amp; Stats'!B243,'Direct and Indirect Expenses'!$H$14:$H$34)*N243/SUMIF('Financial Summary &amp; Stats'!$B:$B,'Financial Summary &amp; Stats'!B243,'Financial Summary &amp; Stats'!$N:$N),0)</f>
        <v>0</v>
      </c>
      <c r="S243" s="595"/>
      <c r="T243" s="202">
        <f>IFERROR(IF('Direct and Indirect Expenses'!$A$9="Other Indirect Allocation Method",(ROUND((N243+P243)/($N$8+$P$8)*'Direct and Indirect Expenses'!$C$9,0)),ROUND((N243+P243)*'Direct and Indirect Expenses'!$B$9,0)),0)</f>
        <v>0</v>
      </c>
      <c r="U243" s="202">
        <f t="shared" si="110"/>
        <v>0</v>
      </c>
      <c r="V243" s="293" t="str">
        <f t="shared" si="111"/>
        <v/>
      </c>
      <c r="Y243" s="128"/>
    </row>
    <row r="244" spans="1:25" ht="20.100000000000001" customHeight="1" x14ac:dyDescent="0.2">
      <c r="A244" s="116" t="s">
        <v>108</v>
      </c>
      <c r="B244" s="122">
        <v>99366</v>
      </c>
      <c r="C244" s="122"/>
      <c r="D244" s="123">
        <f t="array" ref="D244">IFERROR(INDEX('Crosswalk '!$C$9:$C$94,MATCH(1,(B244='Crosswalk '!$B$9:$B$94)*(E244='Crosswalk '!$G$9:$G$94),0)),"")</f>
        <v>0</v>
      </c>
      <c r="E244" s="159" t="s">
        <v>142</v>
      </c>
      <c r="F244" s="485"/>
      <c r="G244" s="181"/>
      <c r="H244" s="159">
        <f t="array" ref="H244">IFERROR(INDEX('Crosswalk '!$E$9:$E$103,MATCH(1,($B244='Crosswalk '!$B$9:$B$103)*($E244='Crosswalk '!$G$9:$G$103),0)),"")</f>
        <v>0.5</v>
      </c>
      <c r="I244" s="125">
        <f t="shared" si="113"/>
        <v>0</v>
      </c>
      <c r="J244" s="126">
        <f t="shared" si="105"/>
        <v>0</v>
      </c>
      <c r="K244" s="200">
        <f t="shared" si="106"/>
        <v>0</v>
      </c>
      <c r="L244" s="294">
        <f t="shared" si="109"/>
        <v>0</v>
      </c>
      <c r="M244" s="294">
        <f t="shared" si="107"/>
        <v>0</v>
      </c>
      <c r="N244" s="186">
        <f t="shared" si="108"/>
        <v>0</v>
      </c>
      <c r="O244" s="201" t="str">
        <f>IFERROR(ROUND(N244/'Direct Prof Sal &amp; Fringes  '!$L$8,8),"")</f>
        <v/>
      </c>
      <c r="P244" s="186" t="str">
        <f>IF(ISBLANK(O244),"",IFERROR(ROUND(O244*' Indirect Non-prof Sal &amp; Fringe'!$M$42,0),""))</f>
        <v/>
      </c>
      <c r="Q244" s="186" t="str">
        <f>IF(ISBLANK(O244),"",IFERROR(ROUND(O244*'Direct and Indirect Expenses'!$K$20,0),""))</f>
        <v/>
      </c>
      <c r="R244" s="309">
        <f>IFERROR(SUMIF('Direct and Indirect Expenses'!$B$14:$B$34,'Financial Summary &amp; Stats'!B244,'Direct and Indirect Expenses'!$H$14:$H$34)*N244/SUMIF('Financial Summary &amp; Stats'!$B:$B,'Financial Summary &amp; Stats'!B244,'Financial Summary &amp; Stats'!$N:$N),0)</f>
        <v>0</v>
      </c>
      <c r="S244" s="595"/>
      <c r="T244" s="202">
        <f>IFERROR(IF('Direct and Indirect Expenses'!$A$9="Other Indirect Allocation Method",(ROUND((N244+P244)/($N$8+$P$8)*'Direct and Indirect Expenses'!$C$9,0)),ROUND((N244+P244)*'Direct and Indirect Expenses'!$B$9,0)),0)</f>
        <v>0</v>
      </c>
      <c r="U244" s="202">
        <f t="shared" si="110"/>
        <v>0</v>
      </c>
      <c r="V244" s="293" t="str">
        <f t="shared" si="111"/>
        <v/>
      </c>
      <c r="Y244" s="128"/>
    </row>
    <row r="245" spans="1:25" ht="20.100000000000001" customHeight="1" x14ac:dyDescent="0.2">
      <c r="A245" s="171"/>
      <c r="B245" s="172"/>
      <c r="C245" s="172"/>
      <c r="D245" s="173"/>
      <c r="E245" s="173"/>
      <c r="F245" s="174"/>
      <c r="G245" s="179"/>
      <c r="H245" s="175"/>
      <c r="I245" s="176"/>
      <c r="J245" s="176"/>
      <c r="K245" s="178"/>
      <c r="L245" s="296"/>
      <c r="M245" s="296"/>
      <c r="N245" s="302"/>
      <c r="O245" s="177"/>
      <c r="P245" s="177"/>
      <c r="Q245" s="177"/>
      <c r="R245" s="302"/>
      <c r="S245" s="302"/>
      <c r="T245" s="193"/>
      <c r="U245" s="193"/>
      <c r="V245" s="191"/>
      <c r="Y245" s="128"/>
    </row>
    <row r="246" spans="1:25" ht="20.100000000000001" customHeight="1" x14ac:dyDescent="0.2">
      <c r="A246" s="171"/>
      <c r="B246" s="172"/>
      <c r="C246" s="172"/>
      <c r="D246" s="173"/>
      <c r="E246" s="173"/>
      <c r="F246" s="174"/>
      <c r="G246" s="179"/>
      <c r="H246" s="175"/>
      <c r="I246" s="176"/>
      <c r="J246" s="176"/>
      <c r="K246" s="178"/>
      <c r="L246" s="296"/>
      <c r="M246" s="296"/>
      <c r="N246" s="302"/>
      <c r="O246" s="177"/>
      <c r="P246" s="177"/>
      <c r="Q246" s="177"/>
      <c r="R246" s="302"/>
      <c r="S246" s="302"/>
      <c r="T246" s="193"/>
      <c r="U246" s="193"/>
      <c r="V246" s="191"/>
      <c r="Y246" s="128"/>
    </row>
    <row r="247" spans="1:25" ht="20.100000000000001" customHeight="1" x14ac:dyDescent="0.25">
      <c r="A247" s="289" t="s">
        <v>101</v>
      </c>
      <c r="B247" s="122"/>
      <c r="C247" s="122"/>
      <c r="D247" s="123"/>
      <c r="E247" s="123"/>
      <c r="F247" s="130"/>
      <c r="G247" s="180"/>
      <c r="H247" s="159"/>
      <c r="I247" s="125"/>
      <c r="J247" s="126"/>
      <c r="K247" s="127"/>
      <c r="L247" s="295"/>
      <c r="M247" s="295"/>
      <c r="N247" s="186"/>
      <c r="O247" s="121"/>
      <c r="P247" s="121"/>
      <c r="Q247" s="186"/>
      <c r="R247" s="186"/>
      <c r="S247" s="186"/>
      <c r="T247" s="186"/>
      <c r="U247" s="186"/>
      <c r="V247" s="293"/>
      <c r="Y247" s="128"/>
    </row>
    <row r="248" spans="1:25" ht="20.100000000000001" customHeight="1" x14ac:dyDescent="0.2">
      <c r="A248" s="129" t="s">
        <v>117</v>
      </c>
      <c r="B248" s="131">
        <v>96101</v>
      </c>
      <c r="C248" s="131"/>
      <c r="D248" s="123" t="str">
        <f t="array" ref="D248">IFERROR(INDEX('Crosswalk '!$C$9:$C$94,MATCH(1,(B248='Crosswalk '!$B$9:$B$94)*(E248='Crosswalk '!$G$9:$G$94),0)),"")</f>
        <v/>
      </c>
      <c r="E248" s="291" t="str">
        <f t="array" ref="E248">IFERROR(INDEX('Crosswalk '!$E$106:$E$125,MATCH(1,($A$216='Crosswalk '!$D$106:$D$125)*($C248='Crosswalk '!$F$106:$F$125),0)),"")</f>
        <v/>
      </c>
      <c r="F248" s="485"/>
      <c r="G248" s="181"/>
      <c r="H248" s="159" t="str">
        <f t="array" ref="H248">IFERROR(INDEX('Crosswalk '!$E$9:$E$103,MATCH(1,($B248='Crosswalk '!$B$9:$B$103)*($E248='Crosswalk '!$G$9:$G$103),0)),"")</f>
        <v/>
      </c>
      <c r="I248" s="125">
        <f t="shared" ref="I248:I250" si="114">IFERROR(ROUND(F248*H248,2),0)</f>
        <v>0</v>
      </c>
      <c r="J248" s="126" t="str">
        <f t="shared" ref="J248:J250" si="115">IF(ISTEXT(H248),"",IFERROR(ROUND(I248+G248,2),""))</f>
        <v/>
      </c>
      <c r="K248" s="200">
        <f t="shared" ref="K248:K250" si="116">IF(ISERROR(J248/$J$255),0,ROUND(J248/$J$255,8))</f>
        <v>0</v>
      </c>
      <c r="L248" s="294">
        <f t="shared" ref="L248:L250" si="117">ROUND(K248*$B$218,0)</f>
        <v>0</v>
      </c>
      <c r="M248" s="294">
        <f t="shared" ref="M248:M250" si="118">IFERROR(ROUND(L248/$L$255*$M$255,0),0)</f>
        <v>0</v>
      </c>
      <c r="N248" s="186">
        <f t="shared" ref="N248:N250" si="119">ROUND(L248+M248,0)</f>
        <v>0</v>
      </c>
      <c r="O248" s="201" t="str">
        <f>IFERROR(ROUND(N248/'Direct Prof Sal &amp; Fringes  '!$L$8,8),"")</f>
        <v/>
      </c>
      <c r="P248" s="186" t="str">
        <f>IF(ISBLANK(O248),"",IFERROR(ROUND(O248*' Indirect Non-prof Sal &amp; Fringe'!$M$42,0),""))</f>
        <v/>
      </c>
      <c r="Q248" s="186" t="str">
        <f>IF(ISBLANK(O248),"",IFERROR(ROUND(O248*'Direct and Indirect Expenses'!$K$20,0),""))</f>
        <v/>
      </c>
      <c r="R248" s="309">
        <f>IFERROR(SUMIF('Direct and Indirect Expenses'!$B$14:$B$34,'Financial Summary &amp; Stats'!B248,'Direct and Indirect Expenses'!$H$14:$H$34)*N248/SUMIF('Financial Summary &amp; Stats'!$B:$B,'Financial Summary &amp; Stats'!B248,'Financial Summary &amp; Stats'!$N:$N),0)</f>
        <v>0</v>
      </c>
      <c r="S248" s="595"/>
      <c r="T248" s="202">
        <f>IFERROR(IF('Direct and Indirect Expenses'!$A$9="Other Indirect Allocation Method",(ROUND((N248+P248)/($N$8+$P$8)*'Direct and Indirect Expenses'!$C$9,0)),ROUND((N248+P248)*'Direct and Indirect Expenses'!$B$9,0)),0)</f>
        <v>0</v>
      </c>
      <c r="U248" s="202">
        <f t="shared" ref="U248:U250" si="120">IFERROR(ROUND((T248+R248+Q248+P248+N248),0),0)</f>
        <v>0</v>
      </c>
      <c r="V248" s="293" t="str">
        <f>IFERROR(ROUND(U248/F248,2),"")</f>
        <v/>
      </c>
      <c r="Y248" s="128"/>
    </row>
    <row r="249" spans="1:25" ht="20.100000000000001" customHeight="1" x14ac:dyDescent="0.2">
      <c r="A249" s="129" t="s">
        <v>122</v>
      </c>
      <c r="B249" s="132" t="s">
        <v>120</v>
      </c>
      <c r="C249" s="132"/>
      <c r="D249" s="123" t="str">
        <f t="array" ref="D249">IFERROR(INDEX('Crosswalk '!$C$9:$C$94,MATCH(1,(B249='Crosswalk '!$B$9:$B$94)*(E249='Crosswalk '!$G$9:$G$94),0)),"")</f>
        <v/>
      </c>
      <c r="E249" s="123"/>
      <c r="F249" s="485"/>
      <c r="G249" s="181"/>
      <c r="H249" s="159">
        <f t="array" ref="H249">IFERROR(INDEX('Crosswalk '!$E$9:$E$103,MATCH(1,($B249='Crosswalk '!$B$9:$B$103)*($E249='Crosswalk '!$G$9:$G$103),0)),"")</f>
        <v>0.25</v>
      </c>
      <c r="I249" s="125">
        <f t="shared" si="114"/>
        <v>0</v>
      </c>
      <c r="J249" s="126">
        <f t="shared" si="115"/>
        <v>0</v>
      </c>
      <c r="K249" s="200">
        <f t="shared" si="116"/>
        <v>0</v>
      </c>
      <c r="L249" s="294">
        <f t="shared" si="117"/>
        <v>0</v>
      </c>
      <c r="M249" s="294">
        <f t="shared" si="118"/>
        <v>0</v>
      </c>
      <c r="N249" s="186">
        <f t="shared" si="119"/>
        <v>0</v>
      </c>
      <c r="O249" s="201" t="str">
        <f>IFERROR(ROUND(N249/'Direct Prof Sal &amp; Fringes  '!$L$8,8),"")</f>
        <v/>
      </c>
      <c r="P249" s="186" t="str">
        <f>IF(ISBLANK(O249),"",IFERROR(ROUND(O249*' Indirect Non-prof Sal &amp; Fringe'!$M$42,0),""))</f>
        <v/>
      </c>
      <c r="Q249" s="186" t="str">
        <f>IF(ISBLANK(O249),"",IFERROR(ROUND(O249*'Direct and Indirect Expenses'!$K$20,0),""))</f>
        <v/>
      </c>
      <c r="R249" s="309">
        <f>IFERROR(SUMIF('Direct and Indirect Expenses'!$B$14:$B$34,'Financial Summary &amp; Stats'!B249,'Direct and Indirect Expenses'!$H$14:$H$34)*N249/SUMIF('Financial Summary &amp; Stats'!$B:$B,'Financial Summary &amp; Stats'!B249,'Financial Summary &amp; Stats'!$N:$N),0)</f>
        <v>0</v>
      </c>
      <c r="S249" s="595"/>
      <c r="T249" s="202">
        <f>IFERROR(IF('Direct and Indirect Expenses'!$A$9="Other Indirect Allocation Method",(ROUND((N249+P249)/($N$8+$P$8)*'Direct and Indirect Expenses'!$C$9,0)),ROUND((N249+P249)*'Direct and Indirect Expenses'!$B$9,0)),0)</f>
        <v>0</v>
      </c>
      <c r="U249" s="202">
        <f t="shared" si="120"/>
        <v>0</v>
      </c>
      <c r="V249" s="293" t="str">
        <f t="shared" ref="V249:V250" si="121">IFERROR(ROUND(U249/F249,2),"")</f>
        <v/>
      </c>
      <c r="Y249" s="128"/>
    </row>
    <row r="250" spans="1:25" ht="20.100000000000001" customHeight="1" x14ac:dyDescent="0.2">
      <c r="A250" s="129" t="s">
        <v>123</v>
      </c>
      <c r="B250" s="132" t="s">
        <v>121</v>
      </c>
      <c r="C250" s="132"/>
      <c r="D250" s="123"/>
      <c r="E250" s="123"/>
      <c r="F250" s="485"/>
      <c r="G250" s="181"/>
      <c r="H250" s="159">
        <f t="array" ref="H250">IFERROR(INDEX('Crosswalk '!$E$9:$E$103,MATCH(1,($B250='Crosswalk '!$B$9:$B$103)*($E250='Crosswalk '!$G$9:$G$103),0)),"")</f>
        <v>0.25</v>
      </c>
      <c r="I250" s="125">
        <f t="shared" si="114"/>
        <v>0</v>
      </c>
      <c r="J250" s="126">
        <f t="shared" si="115"/>
        <v>0</v>
      </c>
      <c r="K250" s="200">
        <f t="shared" si="116"/>
        <v>0</v>
      </c>
      <c r="L250" s="294">
        <f t="shared" si="117"/>
        <v>0</v>
      </c>
      <c r="M250" s="294">
        <f t="shared" si="118"/>
        <v>0</v>
      </c>
      <c r="N250" s="186">
        <f t="shared" si="119"/>
        <v>0</v>
      </c>
      <c r="O250" s="201" t="str">
        <f>IFERROR(ROUND(N250/'Direct Prof Sal &amp; Fringes  '!$L$8,8),"")</f>
        <v/>
      </c>
      <c r="P250" s="186" t="str">
        <f>IF(ISBLANK(O250),"",IFERROR(ROUND(O250*' Indirect Non-prof Sal &amp; Fringe'!$M$42,0),""))</f>
        <v/>
      </c>
      <c r="Q250" s="186" t="str">
        <f>IF(ISBLANK(O250),"",IFERROR(ROUND(O250*'Direct and Indirect Expenses'!$K$20,0),""))</f>
        <v/>
      </c>
      <c r="R250" s="309">
        <f>IFERROR(SUMIF('Direct and Indirect Expenses'!$B$14:$B$34,'Financial Summary &amp; Stats'!B250,'Direct and Indirect Expenses'!$H$14:$H$34)*N250/SUMIF('Financial Summary &amp; Stats'!$B:$B,'Financial Summary &amp; Stats'!B250,'Financial Summary &amp; Stats'!$N:$N),0)</f>
        <v>0</v>
      </c>
      <c r="S250" s="595"/>
      <c r="T250" s="202">
        <f>IFERROR(IF('Direct and Indirect Expenses'!$A$9="Other Indirect Allocation Method",(ROUND((N250+P250)/($N$8+$P$8)*'Direct and Indirect Expenses'!$C$9,0)),ROUND((N250+P250)*'Direct and Indirect Expenses'!$B$9,0)),0)</f>
        <v>0</v>
      </c>
      <c r="U250" s="202">
        <f t="shared" si="120"/>
        <v>0</v>
      </c>
      <c r="V250" s="293" t="str">
        <f t="shared" si="121"/>
        <v/>
      </c>
      <c r="Y250" s="128"/>
    </row>
    <row r="251" spans="1:25" ht="20.100000000000001" customHeight="1" x14ac:dyDescent="0.2">
      <c r="A251" s="161"/>
      <c r="B251" s="162"/>
      <c r="C251" s="162"/>
      <c r="D251" s="163"/>
      <c r="E251" s="163"/>
      <c r="F251" s="164"/>
      <c r="G251" s="181"/>
      <c r="H251" s="165"/>
      <c r="I251" s="166"/>
      <c r="J251" s="167"/>
      <c r="K251" s="169"/>
      <c r="L251" s="297"/>
      <c r="M251" s="297"/>
      <c r="N251" s="193"/>
      <c r="O251" s="168"/>
      <c r="P251" s="168"/>
      <c r="Q251" s="168"/>
      <c r="R251" s="193"/>
      <c r="S251" s="193"/>
      <c r="T251" s="193"/>
      <c r="U251" s="193"/>
      <c r="V251" s="191"/>
      <c r="Y251" s="128"/>
    </row>
    <row r="252" spans="1:25" ht="20.100000000000001" customHeight="1" x14ac:dyDescent="0.2">
      <c r="A252" s="161"/>
      <c r="B252" s="170"/>
      <c r="C252" s="170"/>
      <c r="D252" s="163"/>
      <c r="E252" s="163"/>
      <c r="F252" s="164"/>
      <c r="G252" s="181"/>
      <c r="H252" s="165"/>
      <c r="I252" s="166"/>
      <c r="J252" s="167"/>
      <c r="K252" s="169"/>
      <c r="L252" s="297"/>
      <c r="M252" s="297"/>
      <c r="N252" s="303"/>
      <c r="O252" s="168"/>
      <c r="P252" s="168"/>
      <c r="Q252" s="168"/>
      <c r="R252" s="193"/>
      <c r="S252" s="193"/>
      <c r="T252" s="193"/>
      <c r="U252" s="193"/>
      <c r="V252" s="191"/>
      <c r="Y252" s="128"/>
    </row>
    <row r="253" spans="1:25" ht="20.100000000000001" customHeight="1" x14ac:dyDescent="0.2">
      <c r="A253" s="129" t="s">
        <v>31</v>
      </c>
      <c r="B253" s="133"/>
      <c r="C253" s="133"/>
      <c r="D253" s="123"/>
      <c r="E253" s="123"/>
      <c r="F253" s="130"/>
      <c r="G253" s="180"/>
      <c r="H253" s="124"/>
      <c r="I253" s="120"/>
      <c r="J253" s="183">
        <f>B217-ROUND(SUM(J222:J244)+SUM(J248:J250),2)</f>
        <v>0</v>
      </c>
      <c r="K253" s="127">
        <f>IF(ISERROR(J253/$J$255),0,ROUND(J253/$J$255,8))</f>
        <v>0</v>
      </c>
      <c r="L253" s="297"/>
      <c r="M253" s="297"/>
      <c r="N253" s="303"/>
      <c r="O253" s="168"/>
      <c r="P253" s="168"/>
      <c r="Q253" s="168"/>
      <c r="R253" s="193"/>
      <c r="S253" s="193"/>
      <c r="T253" s="193"/>
      <c r="U253" s="193"/>
      <c r="V253" s="191"/>
      <c r="Y253" s="128"/>
    </row>
    <row r="254" spans="1:25" ht="20.100000000000001" customHeight="1" x14ac:dyDescent="0.2">
      <c r="A254" s="129"/>
      <c r="B254" s="133"/>
      <c r="C254" s="133"/>
      <c r="D254" s="123"/>
      <c r="E254" s="123"/>
      <c r="F254" s="130"/>
      <c r="G254" s="180"/>
      <c r="H254" s="124"/>
      <c r="I254" s="125"/>
      <c r="J254" s="126"/>
      <c r="K254" s="127"/>
      <c r="L254" s="297"/>
      <c r="M254" s="297"/>
      <c r="N254" s="303"/>
      <c r="O254" s="168"/>
      <c r="P254" s="168"/>
      <c r="Q254" s="168"/>
      <c r="R254" s="193"/>
      <c r="S254" s="193"/>
      <c r="T254" s="193"/>
      <c r="U254" s="193"/>
      <c r="V254" s="191"/>
      <c r="Y254" s="128"/>
    </row>
    <row r="255" spans="1:25" ht="20.100000000000001" customHeight="1" x14ac:dyDescent="0.2">
      <c r="A255" s="321" t="s">
        <v>38</v>
      </c>
      <c r="B255" s="322"/>
      <c r="C255" s="322"/>
      <c r="D255" s="323"/>
      <c r="E255" s="323"/>
      <c r="F255" s="324">
        <f>SUM(F222:F254)</f>
        <v>0</v>
      </c>
      <c r="G255" s="325">
        <f>ROUND(SUM(G222:G254),2)</f>
        <v>0</v>
      </c>
      <c r="H255" s="326"/>
      <c r="I255" s="327">
        <f>ROUND(SUM(I222:I254),2)</f>
        <v>0</v>
      </c>
      <c r="J255" s="328">
        <f>IFERROR(SUM(J222:J253),"")</f>
        <v>0</v>
      </c>
      <c r="K255" s="329">
        <f>ROUND(SUM(K222:K254),4)</f>
        <v>0</v>
      </c>
      <c r="L255" s="330">
        <f>ROUND(SUM(L222:L254),0)</f>
        <v>0</v>
      </c>
      <c r="M255" s="331">
        <f>ROUND(K253*$B$218,0)</f>
        <v>0</v>
      </c>
      <c r="N255" s="332">
        <f>ROUND(SUM(N222:N254),0)</f>
        <v>0</v>
      </c>
      <c r="O255" s="201" t="str">
        <f>IFERROR(ROUND(N255/$N$8,8),"")</f>
        <v/>
      </c>
      <c r="P255" s="333">
        <f t="shared" ref="P255:U255" si="122">ROUND(SUM(P222:P254),0)</f>
        <v>0</v>
      </c>
      <c r="Q255" s="333">
        <f t="shared" si="122"/>
        <v>0</v>
      </c>
      <c r="R255" s="332">
        <f t="shared" si="122"/>
        <v>0</v>
      </c>
      <c r="S255" s="332">
        <f t="shared" si="122"/>
        <v>0</v>
      </c>
      <c r="T255" s="194">
        <f t="shared" si="122"/>
        <v>0</v>
      </c>
      <c r="U255" s="194">
        <f t="shared" si="122"/>
        <v>0</v>
      </c>
      <c r="V255" s="334" t="str">
        <f>IFERROR(AVERAGE(V222:V244,V247:V250),"")</f>
        <v/>
      </c>
      <c r="Y255" s="128"/>
    </row>
    <row r="256" spans="1:25" ht="20.100000000000001" customHeight="1" thickBot="1" x14ac:dyDescent="0.3">
      <c r="A256" s="335"/>
      <c r="B256" s="336"/>
      <c r="C256" s="336"/>
      <c r="D256" s="337"/>
      <c r="E256" s="336"/>
      <c r="F256" s="336"/>
      <c r="G256" s="337"/>
      <c r="H256" s="338"/>
      <c r="I256" s="339"/>
      <c r="J256" s="336"/>
      <c r="K256" s="338"/>
      <c r="L256" s="340"/>
      <c r="M256" s="341"/>
      <c r="N256" s="342"/>
      <c r="O256" s="343"/>
      <c r="P256" s="343"/>
      <c r="Q256" s="343"/>
      <c r="R256" s="344"/>
      <c r="S256" s="344"/>
      <c r="T256" s="344"/>
      <c r="U256" s="344"/>
      <c r="V256" s="345"/>
    </row>
    <row r="257" spans="1:25" ht="28.5" customHeight="1" x14ac:dyDescent="0.3">
      <c r="A257" s="669" t="str">
        <f>IF(ISBLANK('Direct Prof Sal &amp; Fringes  '!B237),"",+'Direct Prof Sal &amp; Fringes  '!B237)</f>
        <v/>
      </c>
      <c r="B257" s="674"/>
      <c r="C257" s="674"/>
      <c r="D257" s="674"/>
      <c r="E257" s="674"/>
      <c r="F257" s="674"/>
      <c r="G257" s="674"/>
      <c r="H257" s="674"/>
      <c r="I257" s="674"/>
      <c r="J257" s="674"/>
      <c r="K257" s="674"/>
      <c r="L257" s="674"/>
      <c r="M257" s="674"/>
      <c r="N257" s="674"/>
      <c r="O257" s="674"/>
      <c r="P257" s="674"/>
      <c r="Q257" s="674"/>
      <c r="R257" s="674"/>
      <c r="S257" s="674"/>
      <c r="T257" s="674"/>
      <c r="U257" s="674"/>
      <c r="V257" s="675"/>
    </row>
    <row r="258" spans="1:25" ht="20.100000000000001" customHeight="1" x14ac:dyDescent="0.25">
      <c r="A258" s="429" t="s">
        <v>18</v>
      </c>
      <c r="B258" s="461">
        <f>+'Direct Prof Sal &amp; Fringes  '!G273</f>
        <v>0</v>
      </c>
      <c r="C258" s="461"/>
      <c r="D258" s="431"/>
      <c r="E258" s="432"/>
      <c r="F258" s="432"/>
      <c r="G258" s="431"/>
      <c r="H258" s="433"/>
      <c r="I258" s="434"/>
      <c r="J258" s="432"/>
      <c r="K258" s="433"/>
      <c r="L258" s="435"/>
      <c r="M258" s="436"/>
      <c r="N258" s="436"/>
      <c r="O258" s="457"/>
      <c r="P258" s="457"/>
      <c r="Q258" s="457"/>
      <c r="R258" s="438"/>
      <c r="S258" s="438"/>
      <c r="T258" s="438"/>
      <c r="U258" s="439"/>
      <c r="V258" s="440"/>
    </row>
    <row r="259" spans="1:25" ht="20.100000000000001" customHeight="1" x14ac:dyDescent="0.25">
      <c r="A259" s="429" t="s">
        <v>163</v>
      </c>
      <c r="B259" s="462">
        <f>+'Direct Prof Sal &amp; Fringes  '!L273</f>
        <v>0</v>
      </c>
      <c r="C259" s="462"/>
      <c r="D259" s="431"/>
      <c r="E259" s="432"/>
      <c r="F259" s="432"/>
      <c r="G259" s="431"/>
      <c r="H259" s="433"/>
      <c r="I259" s="434"/>
      <c r="J259" s="432"/>
      <c r="K259" s="433"/>
      <c r="L259" s="435"/>
      <c r="M259" s="436"/>
      <c r="N259" s="436"/>
      <c r="O259" s="457"/>
      <c r="P259" s="457"/>
      <c r="Q259" s="457"/>
      <c r="R259" s="442"/>
      <c r="S259" s="442"/>
      <c r="T259" s="442"/>
      <c r="U259" s="442"/>
      <c r="V259" s="443"/>
    </row>
    <row r="260" spans="1:25" ht="20.100000000000001" customHeight="1" thickBot="1" x14ac:dyDescent="0.3">
      <c r="A260" s="444" t="s">
        <v>222</v>
      </c>
      <c r="B260" s="445">
        <f>IFERROR((ROUND((SUM($J$263:$J$291))/B258,8)),0)</f>
        <v>0</v>
      </c>
      <c r="C260" s="447"/>
      <c r="D260" s="448"/>
      <c r="E260" s="447"/>
      <c r="F260" s="447"/>
      <c r="G260" s="448"/>
      <c r="H260" s="449"/>
      <c r="I260" s="450"/>
      <c r="J260" s="447"/>
      <c r="K260" s="449"/>
      <c r="L260" s="451"/>
      <c r="M260" s="452"/>
      <c r="N260" s="452"/>
      <c r="O260" s="458"/>
      <c r="P260" s="458"/>
      <c r="Q260" s="458"/>
      <c r="R260" s="454"/>
      <c r="S260" s="454"/>
      <c r="T260" s="454"/>
      <c r="U260" s="454"/>
      <c r="V260" s="455"/>
    </row>
    <row r="261" spans="1:25" ht="19.5" customHeight="1" thickBot="1" x14ac:dyDescent="0.3">
      <c r="A261" s="428" t="s">
        <v>49</v>
      </c>
      <c r="B261" s="428" t="s">
        <v>50</v>
      </c>
      <c r="C261" s="428" t="s">
        <v>51</v>
      </c>
      <c r="D261" s="428" t="s">
        <v>52</v>
      </c>
      <c r="E261" s="428" t="s">
        <v>53</v>
      </c>
      <c r="F261" s="428" t="s">
        <v>54</v>
      </c>
      <c r="G261" s="428" t="s">
        <v>55</v>
      </c>
      <c r="H261" s="428" t="s">
        <v>56</v>
      </c>
      <c r="I261" s="428" t="s">
        <v>57</v>
      </c>
      <c r="J261" s="428" t="s">
        <v>58</v>
      </c>
      <c r="K261" s="428" t="s">
        <v>59</v>
      </c>
      <c r="L261" s="428" t="s">
        <v>223</v>
      </c>
      <c r="M261" s="428" t="s">
        <v>224</v>
      </c>
      <c r="N261" s="428" t="s">
        <v>225</v>
      </c>
      <c r="O261" s="428" t="s">
        <v>226</v>
      </c>
      <c r="P261" s="428" t="s">
        <v>227</v>
      </c>
      <c r="Q261" s="428" t="s">
        <v>228</v>
      </c>
      <c r="R261" s="428" t="s">
        <v>229</v>
      </c>
      <c r="S261" s="428" t="s">
        <v>230</v>
      </c>
      <c r="T261" s="428" t="s">
        <v>231</v>
      </c>
      <c r="U261" s="428" t="s">
        <v>232</v>
      </c>
      <c r="V261" s="428" t="s">
        <v>242</v>
      </c>
    </row>
    <row r="262" spans="1:25" ht="88.5" customHeight="1" thickBot="1" x14ac:dyDescent="0.3">
      <c r="A262" s="346" t="s">
        <v>244</v>
      </c>
      <c r="B262" s="347" t="s">
        <v>42</v>
      </c>
      <c r="C262" s="347" t="s">
        <v>198</v>
      </c>
      <c r="D262" s="348" t="s">
        <v>62</v>
      </c>
      <c r="E262" s="348" t="s">
        <v>98</v>
      </c>
      <c r="F262" s="536" t="s">
        <v>260</v>
      </c>
      <c r="G262" s="349" t="s">
        <v>199</v>
      </c>
      <c r="H262" s="350" t="s">
        <v>19</v>
      </c>
      <c r="I262" s="347" t="s">
        <v>256</v>
      </c>
      <c r="J262" s="347" t="s">
        <v>41</v>
      </c>
      <c r="K262" s="351" t="s">
        <v>30</v>
      </c>
      <c r="L262" s="352" t="s">
        <v>173</v>
      </c>
      <c r="M262" s="352" t="s">
        <v>177</v>
      </c>
      <c r="N262" s="352" t="s">
        <v>176</v>
      </c>
      <c r="O262" s="351" t="s">
        <v>172</v>
      </c>
      <c r="P262" s="353" t="s">
        <v>178</v>
      </c>
      <c r="Q262" s="351" t="s">
        <v>204</v>
      </c>
      <c r="R262" s="352" t="s">
        <v>203</v>
      </c>
      <c r="S262" s="352" t="s">
        <v>243</v>
      </c>
      <c r="T262" s="597" t="str">
        <f>IF(ISBLANK(+'Direct and Indirect Expenses'!$A$9),"Indirect Cost Method",+'Direct and Indirect Expenses'!$A$9)</f>
        <v>Indirect Cost Method</v>
      </c>
      <c r="U262" s="354" t="s">
        <v>23</v>
      </c>
      <c r="V262" s="355" t="s">
        <v>44</v>
      </c>
    </row>
    <row r="263" spans="1:25" ht="20.100000000000001" customHeight="1" x14ac:dyDescent="0.2">
      <c r="A263" s="290" t="s">
        <v>75</v>
      </c>
      <c r="B263" s="283" t="s">
        <v>77</v>
      </c>
      <c r="C263" s="283"/>
      <c r="D263" s="198" t="str">
        <f t="array" ref="D263">IFERROR(INDEX('Crosswalk '!$C$9:$C$94,MATCH(1,($B263='Crosswalk '!$B$9:$B$94)*($E263='Crosswalk '!$G$9:$G$94),0)),"")</f>
        <v/>
      </c>
      <c r="E263" s="291" t="str">
        <f t="array" ref="E263">IFERROR(INDEX('Crosswalk '!$E$106:$E$125,MATCH(1,($A$257='Crosswalk '!$D$106:$D$125)*($C263='Crosswalk '!$F$106:$F$125),0)),"")</f>
        <v/>
      </c>
      <c r="F263" s="485"/>
      <c r="G263" s="292"/>
      <c r="H263" s="159" t="str">
        <f t="array" ref="H263">IFERROR(INDEX('Crosswalk '!$E$9:$E$103,MATCH(1,($B263='Crosswalk '!$B$9:$B$103)*($E263='Crosswalk '!$G$9:$G$103),0)),"")</f>
        <v/>
      </c>
      <c r="I263" s="199">
        <f t="shared" ref="I263:I270" si="123">IFERROR(ROUND(F263*H263,2),0)</f>
        <v>0</v>
      </c>
      <c r="J263" s="126" t="str">
        <f t="shared" ref="J263:J285" si="124">IF(ISTEXT(H263),"",IFERROR(ROUND(I263+G263,2),""))</f>
        <v/>
      </c>
      <c r="K263" s="200">
        <f t="shared" ref="K263:K285" si="125">IF(ISERROR(J263/$J$296),0,ROUND(J263/$J$296,8))</f>
        <v>0</v>
      </c>
      <c r="L263" s="294">
        <f>ROUND(K263*$B$259,0)</f>
        <v>0</v>
      </c>
      <c r="M263" s="294">
        <f t="shared" ref="M263:M285" si="126">IFERROR(ROUND(L263/$L$296*$M$296,0),0)</f>
        <v>0</v>
      </c>
      <c r="N263" s="202">
        <f t="shared" ref="N263:N285" si="127">ROUND(L263+M263,0)</f>
        <v>0</v>
      </c>
      <c r="O263" s="201" t="str">
        <f>IFERROR(ROUND(N263/'Direct Prof Sal &amp; Fringes  '!$L$8,8),"")</f>
        <v/>
      </c>
      <c r="P263" s="202" t="str">
        <f>IF(ISBLANK(O263),"",IFERROR(ROUND(O263*' Indirect Non-prof Sal &amp; Fringe'!$M$42,0),""))</f>
        <v/>
      </c>
      <c r="Q263" s="202" t="str">
        <f>IF(ISBLANK(O263),"",IFERROR(ROUND(O263*'Direct and Indirect Expenses'!$K$20,0),""))</f>
        <v/>
      </c>
      <c r="R263" s="308">
        <f>IFERROR(SUMIF('Direct and Indirect Expenses'!$B$14:$B$34,'Financial Summary &amp; Stats'!B263,'Direct and Indirect Expenses'!$H$14:$H$34)*N263/SUMIF('Financial Summary &amp; Stats'!$B:$B,'Financial Summary &amp; Stats'!B263,'Financial Summary &amp; Stats'!$N:$N),0)</f>
        <v>0</v>
      </c>
      <c r="S263" s="595"/>
      <c r="T263" s="202">
        <f>IFERROR(IF('Direct and Indirect Expenses'!$A$9="Other Indirect Allocation Method",(ROUND((N263+P263)/($N$8+$P$8)*'Direct and Indirect Expenses'!$C$9,0)),ROUND((N263+P263)*'Direct and Indirect Expenses'!$B$9,0)),0)</f>
        <v>0</v>
      </c>
      <c r="U263" s="202">
        <f>IFERROR(ROUND((T263+R263+Q263+P263+N263+S263),0),0)</f>
        <v>0</v>
      </c>
      <c r="V263" s="293" t="str">
        <f>IFERROR(ROUND(U263/F263,2),"")</f>
        <v/>
      </c>
    </row>
    <row r="264" spans="1:25" ht="20.100000000000001" customHeight="1" x14ac:dyDescent="0.2">
      <c r="A264" s="116" t="s">
        <v>70</v>
      </c>
      <c r="B264" s="122" t="s">
        <v>107</v>
      </c>
      <c r="C264" s="122"/>
      <c r="D264" s="123" t="str">
        <f t="array" ref="D264">IFERROR(INDEX('Crosswalk '!$C$9:$C$94,MATCH(1,(B264='Crosswalk '!$B$9:$B$94)*(E264='Crosswalk '!$G$9:$G$94),0)),"")</f>
        <v/>
      </c>
      <c r="E264" s="291" t="str">
        <f t="array" ref="E264">IFERROR(INDEX('Crosswalk '!$E$106:$E$125,MATCH(1,($A$257='Crosswalk '!$D$106:$D$125)*($C264='Crosswalk '!$F$106:$F$125),0)),"")</f>
        <v/>
      </c>
      <c r="F264" s="485"/>
      <c r="G264" s="185"/>
      <c r="H264" s="159" t="str">
        <f t="array" ref="H264">IFERROR(INDEX('Crosswalk '!$E$9:$E$103,MATCH(1,($B264='Crosswalk '!$B$9:$B$103)*($E264='Crosswalk '!$G$9:$G$103),0)),"")</f>
        <v/>
      </c>
      <c r="I264" s="125">
        <f t="shared" si="123"/>
        <v>0</v>
      </c>
      <c r="J264" s="126" t="str">
        <f t="shared" si="124"/>
        <v/>
      </c>
      <c r="K264" s="200">
        <f t="shared" si="125"/>
        <v>0</v>
      </c>
      <c r="L264" s="294">
        <f t="shared" ref="L264:L285" si="128">ROUND(K264*$B$259,0)</f>
        <v>0</v>
      </c>
      <c r="M264" s="294">
        <f t="shared" si="126"/>
        <v>0</v>
      </c>
      <c r="N264" s="186">
        <f t="shared" si="127"/>
        <v>0</v>
      </c>
      <c r="O264" s="201" t="str">
        <f>IFERROR(ROUND(N264/'Direct Prof Sal &amp; Fringes  '!$L$8,8),"")</f>
        <v/>
      </c>
      <c r="P264" s="186" t="str">
        <f>IF(ISBLANK(O264),"",IFERROR(ROUND(O264*' Indirect Non-prof Sal &amp; Fringe'!$M$42,0),""))</f>
        <v/>
      </c>
      <c r="Q264" s="186" t="str">
        <f>IF(ISBLANK(O264),"",IFERROR(ROUND(O264*'Direct and Indirect Expenses'!$K$20,0),""))</f>
        <v/>
      </c>
      <c r="R264" s="309">
        <f>IFERROR(SUMIF('Direct and Indirect Expenses'!$B$14:$B$34,'Financial Summary &amp; Stats'!B264,'Direct and Indirect Expenses'!$H$14:$H$34)*N264/SUMIF('Financial Summary &amp; Stats'!$B:$B,'Financial Summary &amp; Stats'!B264,'Financial Summary &amp; Stats'!$N:$N),0)</f>
        <v>0</v>
      </c>
      <c r="S264" s="595"/>
      <c r="T264" s="202">
        <f>IFERROR(IF('Direct and Indirect Expenses'!$A$9="Other Indirect Allocation Method",(ROUND((N264+P264)/($N$8+$P$8)*'Direct and Indirect Expenses'!$C$9,0)),ROUND((N264+P264)*'Direct and Indirect Expenses'!$B$9,0)),0)</f>
        <v>0</v>
      </c>
      <c r="U264" s="202">
        <f t="shared" ref="U264:U285" si="129">IFERROR(ROUND((T264+R264+Q264+P264+N264),0),0)</f>
        <v>0</v>
      </c>
      <c r="V264" s="293" t="str">
        <f t="shared" ref="V264:V285" si="130">IFERROR(ROUND(U264/F264,2),"")</f>
        <v/>
      </c>
      <c r="Y264" s="128"/>
    </row>
    <row r="265" spans="1:25" ht="20.100000000000001" customHeight="1" x14ac:dyDescent="0.2">
      <c r="A265" s="116" t="s">
        <v>115</v>
      </c>
      <c r="B265" s="122" t="s">
        <v>71</v>
      </c>
      <c r="C265" s="122"/>
      <c r="D265" s="123" t="str">
        <f t="array" ref="D265">IFERROR(INDEX('Crosswalk '!$C$9:$C$94,MATCH(1,(B265='Crosswalk '!$B$9:$B$94)*(E265='Crosswalk '!$G$9:$G$94),0)),"")</f>
        <v/>
      </c>
      <c r="E265" s="291" t="str">
        <f t="array" ref="E265">IFERROR(INDEX('Crosswalk '!$E$106:$E$125,MATCH(1,($A$257='Crosswalk '!$D$106:$D$125)*($C265='Crosswalk '!$F$106:$F$125),0)),"")</f>
        <v/>
      </c>
      <c r="F265" s="485"/>
      <c r="G265" s="185"/>
      <c r="H265" s="159" t="str">
        <f t="array" ref="H265">IFERROR(INDEX('Crosswalk '!$E$9:$E$103,MATCH(1,($B265='Crosswalk '!$B$9:$B$103)*($E265='Crosswalk '!$G$9:$G$103),0)),"")</f>
        <v/>
      </c>
      <c r="I265" s="125">
        <f t="shared" si="123"/>
        <v>0</v>
      </c>
      <c r="J265" s="126" t="str">
        <f t="shared" si="124"/>
        <v/>
      </c>
      <c r="K265" s="200">
        <f t="shared" si="125"/>
        <v>0</v>
      </c>
      <c r="L265" s="294">
        <f t="shared" si="128"/>
        <v>0</v>
      </c>
      <c r="M265" s="294">
        <f t="shared" si="126"/>
        <v>0</v>
      </c>
      <c r="N265" s="186">
        <f t="shared" si="127"/>
        <v>0</v>
      </c>
      <c r="O265" s="201" t="str">
        <f>IFERROR(ROUND(N265/'Direct Prof Sal &amp; Fringes  '!$L$8,8),"")</f>
        <v/>
      </c>
      <c r="P265" s="186" t="str">
        <f>IF(ISBLANK(O265),"",IFERROR(ROUND(O265*' Indirect Non-prof Sal &amp; Fringe'!$M$42,0),""))</f>
        <v/>
      </c>
      <c r="Q265" s="186" t="str">
        <f>IF(ISBLANK(O265),"",IFERROR(ROUND(O265*'Direct and Indirect Expenses'!$K$20,0),""))</f>
        <v/>
      </c>
      <c r="R265" s="309">
        <f>IFERROR(SUMIF('Direct and Indirect Expenses'!$B$14:$B$34,'Financial Summary &amp; Stats'!B265,'Direct and Indirect Expenses'!$H$14:$H$34)*N265/SUMIF('Financial Summary &amp; Stats'!$B:$B,'Financial Summary &amp; Stats'!B265,'Financial Summary &amp; Stats'!$N:$N),0)</f>
        <v>0</v>
      </c>
      <c r="S265" s="595"/>
      <c r="T265" s="202">
        <f>IFERROR(IF('Direct and Indirect Expenses'!$A$9="Other Indirect Allocation Method",(ROUND((N265+P265)/($N$8+$P$8)*'Direct and Indirect Expenses'!$C$9,0)),ROUND((N265+P265)*'Direct and Indirect Expenses'!$B$9,0)),0)</f>
        <v>0</v>
      </c>
      <c r="U265" s="202">
        <f t="shared" si="129"/>
        <v>0</v>
      </c>
      <c r="V265" s="293" t="str">
        <f t="shared" si="130"/>
        <v/>
      </c>
      <c r="Y265" s="128"/>
    </row>
    <row r="266" spans="1:25" ht="20.100000000000001" customHeight="1" x14ac:dyDescent="0.2">
      <c r="A266" s="116" t="s">
        <v>118</v>
      </c>
      <c r="B266" s="122" t="s">
        <v>124</v>
      </c>
      <c r="C266" s="122"/>
      <c r="D266" s="123" t="str">
        <f t="array" ref="D266">IFERROR(INDEX('Crosswalk '!$C$9:$C$94,MATCH(1,(B266='Crosswalk '!$B$9:$B$94)*(E266='Crosswalk '!$G$9:$G$94),0)),"")</f>
        <v/>
      </c>
      <c r="E266" s="291" t="str">
        <f t="array" ref="E266">IFERROR(INDEX('Crosswalk '!$E$106:$E$125,MATCH(1,($A$257='Crosswalk '!$D$106:$D$125)*($C266='Crosswalk '!$F$106:$F$125),0)),"")</f>
        <v/>
      </c>
      <c r="F266" s="485"/>
      <c r="G266" s="185"/>
      <c r="H266" s="159" t="str">
        <f t="array" ref="H266">IFERROR(INDEX('Crosswalk '!$E$9:$E$103,MATCH(1,($B266='Crosswalk '!$B$9:$B$103)*($E266='Crosswalk '!$G$9:$G$103),0)),"")</f>
        <v/>
      </c>
      <c r="I266" s="125">
        <f t="shared" si="123"/>
        <v>0</v>
      </c>
      <c r="J266" s="126" t="str">
        <f t="shared" si="124"/>
        <v/>
      </c>
      <c r="K266" s="200">
        <f t="shared" si="125"/>
        <v>0</v>
      </c>
      <c r="L266" s="294">
        <f t="shared" si="128"/>
        <v>0</v>
      </c>
      <c r="M266" s="294">
        <f t="shared" si="126"/>
        <v>0</v>
      </c>
      <c r="N266" s="186">
        <f t="shared" si="127"/>
        <v>0</v>
      </c>
      <c r="O266" s="201" t="str">
        <f>IFERROR(ROUND(N266/'Direct Prof Sal &amp; Fringes  '!$L$8,8),"")</f>
        <v/>
      </c>
      <c r="P266" s="186" t="str">
        <f>IF(ISBLANK(O266),"",IFERROR(ROUND(O266*' Indirect Non-prof Sal &amp; Fringe'!$M$42,0),""))</f>
        <v/>
      </c>
      <c r="Q266" s="186" t="str">
        <f>IF(ISBLANK(O266),"",IFERROR(ROUND(O266*'Direct and Indirect Expenses'!$K$20,0),""))</f>
        <v/>
      </c>
      <c r="R266" s="309">
        <f>IFERROR(SUMIF('Direct and Indirect Expenses'!$B$14:$B$34,'Financial Summary &amp; Stats'!B266,'Direct and Indirect Expenses'!$H$14:$H$34)*N266/SUMIF('Financial Summary &amp; Stats'!$B:$B,'Financial Summary &amp; Stats'!B266,'Financial Summary &amp; Stats'!$N:$N),0)</f>
        <v>0</v>
      </c>
      <c r="S266" s="595"/>
      <c r="T266" s="202">
        <f>IFERROR(IF('Direct and Indirect Expenses'!$A$9="Other Indirect Allocation Method",(ROUND((N266+P266)/($N$8+$P$8)*'Direct and Indirect Expenses'!$C$9,0)),ROUND((N266+P266)*'Direct and Indirect Expenses'!$B$9,0)),0)</f>
        <v>0</v>
      </c>
      <c r="U266" s="202">
        <f t="shared" si="129"/>
        <v>0</v>
      </c>
      <c r="V266" s="293" t="str">
        <f t="shared" si="130"/>
        <v/>
      </c>
      <c r="Y266" s="128"/>
    </row>
    <row r="267" spans="1:25" ht="20.100000000000001" customHeight="1" x14ac:dyDescent="0.2">
      <c r="A267" s="116" t="s">
        <v>119</v>
      </c>
      <c r="B267" s="132" t="s">
        <v>126</v>
      </c>
      <c r="C267" s="122"/>
      <c r="D267" s="123" t="str">
        <f t="array" ref="D267">IFERROR(INDEX('Crosswalk '!$C$9:$C$94,MATCH(1,(B267='Crosswalk '!$B$9:$B$94)*(E267='Crosswalk '!$G$9:$G$94),0)),"")</f>
        <v/>
      </c>
      <c r="E267" s="291" t="str">
        <f t="array" ref="E267">IFERROR(INDEX('Crosswalk '!$E$106:$E$125,MATCH(1,($A$257='Crosswalk '!$D$106:$D$125)*($C267='Crosswalk '!$F$106:$F$125),0)),"")</f>
        <v/>
      </c>
      <c r="F267" s="485"/>
      <c r="G267" s="185"/>
      <c r="H267" s="159" t="str">
        <f t="array" ref="H267">IFERROR(INDEX('Crosswalk '!$E$9:$E$103,MATCH(1,($B267='Crosswalk '!$B$9:$B$103)*($E267='Crosswalk '!$G$9:$G$103),0)),"")</f>
        <v/>
      </c>
      <c r="I267" s="125">
        <f t="shared" si="123"/>
        <v>0</v>
      </c>
      <c r="J267" s="126" t="str">
        <f t="shared" si="124"/>
        <v/>
      </c>
      <c r="K267" s="200">
        <f t="shared" si="125"/>
        <v>0</v>
      </c>
      <c r="L267" s="294">
        <f t="shared" si="128"/>
        <v>0</v>
      </c>
      <c r="M267" s="294">
        <f t="shared" si="126"/>
        <v>0</v>
      </c>
      <c r="N267" s="186">
        <f t="shared" si="127"/>
        <v>0</v>
      </c>
      <c r="O267" s="201" t="str">
        <f>IFERROR(ROUND(N267/'Direct Prof Sal &amp; Fringes  '!$L$8,8),"")</f>
        <v/>
      </c>
      <c r="P267" s="186" t="str">
        <f>IF(ISBLANK(O267),"",IFERROR(ROUND(O267*' Indirect Non-prof Sal &amp; Fringe'!$M$42,0),""))</f>
        <v/>
      </c>
      <c r="Q267" s="186" t="str">
        <f>IF(ISBLANK(O267),"",IFERROR(ROUND(O267*'Direct and Indirect Expenses'!$K$20,0),""))</f>
        <v/>
      </c>
      <c r="R267" s="309">
        <f>IFERROR(SUMIF('Direct and Indirect Expenses'!$B$14:$B$34,'Financial Summary &amp; Stats'!B267,'Direct and Indirect Expenses'!$H$14:$H$34)*N267/SUMIF('Financial Summary &amp; Stats'!$B:$B,'Financial Summary &amp; Stats'!B267,'Financial Summary &amp; Stats'!$N:$N),0)</f>
        <v>0</v>
      </c>
      <c r="S267" s="595"/>
      <c r="T267" s="202">
        <f>IFERROR(IF('Direct and Indirect Expenses'!$A$9="Other Indirect Allocation Method",(ROUND((N267+P267)/($N$8+$P$8)*'Direct and Indirect Expenses'!$C$9,0)),ROUND((N267+P267)*'Direct and Indirect Expenses'!$B$9,0)),0)</f>
        <v>0</v>
      </c>
      <c r="U267" s="202">
        <f t="shared" si="129"/>
        <v>0</v>
      </c>
      <c r="V267" s="293" t="str">
        <f t="shared" si="130"/>
        <v/>
      </c>
      <c r="W267" s="51"/>
    </row>
    <row r="268" spans="1:25" ht="20.100000000000001" customHeight="1" x14ac:dyDescent="0.2">
      <c r="A268" s="116" t="s">
        <v>80</v>
      </c>
      <c r="B268" s="122" t="s">
        <v>81</v>
      </c>
      <c r="C268" s="122"/>
      <c r="D268" s="123" t="str">
        <f t="array" ref="D268">IFERROR(INDEX('Crosswalk '!$C$9:$C$94,MATCH(1,(B268='Crosswalk '!$B$9:$B$94)*(E268='Crosswalk '!$G$9:$G$94),0)),"")</f>
        <v/>
      </c>
      <c r="E268" s="291" t="str">
        <f t="array" ref="E268">IFERROR(INDEX('Crosswalk '!$E$106:$E$125,MATCH(1,($A$257='Crosswalk '!$D$106:$D$125)*($C268='Crosswalk '!$F$106:$F$125),0)),"")</f>
        <v/>
      </c>
      <c r="F268" s="485"/>
      <c r="G268" s="185"/>
      <c r="H268" s="159" t="str">
        <f t="array" ref="H268">IFERROR(INDEX('Crosswalk '!$E$9:$E$103,MATCH(1,($B268='Crosswalk '!$B$9:$B$103)*($E268='Crosswalk '!$G$9:$G$103),0)),"")</f>
        <v/>
      </c>
      <c r="I268" s="125">
        <f t="shared" si="123"/>
        <v>0</v>
      </c>
      <c r="J268" s="126" t="str">
        <f t="shared" si="124"/>
        <v/>
      </c>
      <c r="K268" s="200">
        <f t="shared" si="125"/>
        <v>0</v>
      </c>
      <c r="L268" s="294">
        <f t="shared" si="128"/>
        <v>0</v>
      </c>
      <c r="M268" s="294">
        <f t="shared" si="126"/>
        <v>0</v>
      </c>
      <c r="N268" s="186">
        <f t="shared" si="127"/>
        <v>0</v>
      </c>
      <c r="O268" s="201" t="str">
        <f>IFERROR(ROUND(N268/'Direct Prof Sal &amp; Fringes  '!$L$8,8),"")</f>
        <v/>
      </c>
      <c r="P268" s="186" t="str">
        <f>IF(ISBLANK(O268),"",IFERROR(ROUND(O268*' Indirect Non-prof Sal &amp; Fringe'!$M$42,0),""))</f>
        <v/>
      </c>
      <c r="Q268" s="186" t="str">
        <f>IF(ISBLANK(O268),"",IFERROR(ROUND(O268*'Direct and Indirect Expenses'!$K$20,0),""))</f>
        <v/>
      </c>
      <c r="R268" s="309">
        <f>IFERROR(SUMIF('Direct and Indirect Expenses'!$B$14:$B$34,'Financial Summary &amp; Stats'!B268,'Direct and Indirect Expenses'!$H$14:$H$34)*N268/SUMIF('Financial Summary &amp; Stats'!$B:$B,'Financial Summary &amp; Stats'!B268,'Financial Summary &amp; Stats'!$N:$N),0)</f>
        <v>0</v>
      </c>
      <c r="S268" s="595"/>
      <c r="T268" s="202">
        <f>IFERROR(IF('Direct and Indirect Expenses'!$A$9="Other Indirect Allocation Method",(ROUND((N268+P268)/($N$8+$P$8)*'Direct and Indirect Expenses'!$C$9,0)),ROUND((N268+P268)*'Direct and Indirect Expenses'!$B$9,0)),0)</f>
        <v>0</v>
      </c>
      <c r="U268" s="202">
        <f>IFERROR(ROUND((T268+R268+Q268+P268+N268),0),0)</f>
        <v>0</v>
      </c>
      <c r="V268" s="293" t="str">
        <f t="shared" si="130"/>
        <v/>
      </c>
      <c r="Y268" s="128"/>
    </row>
    <row r="269" spans="1:25" ht="20.100000000000001" customHeight="1" x14ac:dyDescent="0.2">
      <c r="A269" s="116" t="s">
        <v>111</v>
      </c>
      <c r="B269" s="122">
        <v>90846</v>
      </c>
      <c r="C269" s="122"/>
      <c r="D269" s="123" t="str">
        <f t="array" ref="D269">IFERROR(INDEX('Crosswalk '!$C$9:$C$94,MATCH(1,(B269='Crosswalk '!$B$9:$B$94)*(E269='Crosswalk '!$G$9:$G$94),0)),"")</f>
        <v/>
      </c>
      <c r="E269" s="291" t="str">
        <f t="array" ref="E269">IFERROR(INDEX('Crosswalk '!$E$106:$E$125,MATCH(1,($A$257='Crosswalk '!$D$106:$D$125)*($C269='Crosswalk '!$F$106:$F$125),0)),"")</f>
        <v/>
      </c>
      <c r="F269" s="485"/>
      <c r="G269" s="185"/>
      <c r="H269" s="159" t="str">
        <f t="array" ref="H269">IFERROR(INDEX('Crosswalk '!$E$9:$E$103,MATCH(1,($B269='Crosswalk '!$B$9:$B$103)*($E269='Crosswalk '!$G$9:$G$103),0)),"")</f>
        <v/>
      </c>
      <c r="I269" s="125">
        <f t="shared" si="123"/>
        <v>0</v>
      </c>
      <c r="J269" s="126" t="str">
        <f t="shared" si="124"/>
        <v/>
      </c>
      <c r="K269" s="200">
        <f t="shared" si="125"/>
        <v>0</v>
      </c>
      <c r="L269" s="294">
        <f t="shared" si="128"/>
        <v>0</v>
      </c>
      <c r="M269" s="294">
        <f t="shared" si="126"/>
        <v>0</v>
      </c>
      <c r="N269" s="186">
        <f t="shared" si="127"/>
        <v>0</v>
      </c>
      <c r="O269" s="201" t="str">
        <f>IFERROR(ROUND(N269/'Direct Prof Sal &amp; Fringes  '!$L$8,8),"")</f>
        <v/>
      </c>
      <c r="P269" s="186" t="str">
        <f>IF(ISBLANK(O269),"",IFERROR(ROUND(O269*' Indirect Non-prof Sal &amp; Fringe'!$M$42,0),""))</f>
        <v/>
      </c>
      <c r="Q269" s="186" t="str">
        <f>IF(ISBLANK(O269),"",IFERROR(ROUND(O269*'Direct and Indirect Expenses'!$K$20,0),""))</f>
        <v/>
      </c>
      <c r="R269" s="309">
        <f>IFERROR(SUMIF('Direct and Indirect Expenses'!$B$14:$B$34,'Financial Summary &amp; Stats'!B269,'Direct and Indirect Expenses'!$H$14:$H$34)*N269/SUMIF('Financial Summary &amp; Stats'!$B:$B,'Financial Summary &amp; Stats'!B269,'Financial Summary &amp; Stats'!$N:$N),0)</f>
        <v>0</v>
      </c>
      <c r="S269" s="595"/>
      <c r="T269" s="202">
        <f>IFERROR(IF('Direct and Indirect Expenses'!$A$9="Other Indirect Allocation Method",(ROUND((N269+P269)/($N$8+$P$8)*'Direct and Indirect Expenses'!$C$9,0)),ROUND((N269+P269)*'Direct and Indirect Expenses'!$B$9,0)),0)</f>
        <v>0</v>
      </c>
      <c r="U269" s="202">
        <f t="shared" si="129"/>
        <v>0</v>
      </c>
      <c r="V269" s="293" t="str">
        <f t="shared" si="130"/>
        <v/>
      </c>
      <c r="Y269" s="128"/>
    </row>
    <row r="270" spans="1:25" ht="20.100000000000001" customHeight="1" x14ac:dyDescent="0.2">
      <c r="A270" s="116" t="s">
        <v>112</v>
      </c>
      <c r="B270" s="122">
        <v>90847</v>
      </c>
      <c r="C270" s="122"/>
      <c r="D270" s="123" t="str">
        <f t="array" ref="D270">IFERROR(INDEX('Crosswalk '!$C$9:$C$94,MATCH(1,(B270='Crosswalk '!$B$9:$B$94)*(E270='Crosswalk '!$G$9:$G$94),0)),"")</f>
        <v/>
      </c>
      <c r="E270" s="291" t="str">
        <f t="array" ref="E270">IFERROR(INDEX('Crosswalk '!$E$106:$E$125,MATCH(1,($A$257='Crosswalk '!$D$106:$D$125)*($C270='Crosswalk '!$F$106:$F$125),0)),"")</f>
        <v/>
      </c>
      <c r="F270" s="485"/>
      <c r="G270" s="185"/>
      <c r="H270" s="159" t="str">
        <f t="array" ref="H270">IFERROR(INDEX('Crosswalk '!$E$9:$E$103,MATCH(1,($B270='Crosswalk '!$B$9:$B$103)*($E270='Crosswalk '!$G$9:$G$103),0)),"")</f>
        <v/>
      </c>
      <c r="I270" s="125">
        <f t="shared" si="123"/>
        <v>0</v>
      </c>
      <c r="J270" s="126" t="str">
        <f t="shared" si="124"/>
        <v/>
      </c>
      <c r="K270" s="200">
        <f t="shared" si="125"/>
        <v>0</v>
      </c>
      <c r="L270" s="294">
        <f t="shared" si="128"/>
        <v>0</v>
      </c>
      <c r="M270" s="294">
        <f t="shared" si="126"/>
        <v>0</v>
      </c>
      <c r="N270" s="186">
        <f t="shared" si="127"/>
        <v>0</v>
      </c>
      <c r="O270" s="201" t="str">
        <f>IFERROR(ROUND(N270/'Direct Prof Sal &amp; Fringes  '!$L$8,8),"")</f>
        <v/>
      </c>
      <c r="P270" s="186" t="str">
        <f>IF(ISBLANK(O270),"",IFERROR(ROUND(O270*' Indirect Non-prof Sal &amp; Fringe'!$M$42,0),""))</f>
        <v/>
      </c>
      <c r="Q270" s="186" t="str">
        <f>IF(ISBLANK(O270),"",IFERROR(ROUND(O270*'Direct and Indirect Expenses'!$K$20,0),""))</f>
        <v/>
      </c>
      <c r="R270" s="309">
        <f>IFERROR(SUMIF('Direct and Indirect Expenses'!$B$14:$B$34,'Financial Summary &amp; Stats'!B270,'Direct and Indirect Expenses'!$H$14:$H$34)*N270/SUMIF('Financial Summary &amp; Stats'!$B:$B,'Financial Summary &amp; Stats'!B270,'Financial Summary &amp; Stats'!$N:$N),0)</f>
        <v>0</v>
      </c>
      <c r="S270" s="595"/>
      <c r="T270" s="202">
        <f>IFERROR(IF('Direct and Indirect Expenses'!$A$9="Other Indirect Allocation Method",(ROUND((N270+P270)/($N$8+$P$8)*'Direct and Indirect Expenses'!$C$9,0)),ROUND((N270+P270)*'Direct and Indirect Expenses'!$B$9,0)),0)</f>
        <v>0</v>
      </c>
      <c r="U270" s="202">
        <f t="shared" si="129"/>
        <v>0</v>
      </c>
      <c r="V270" s="293" t="str">
        <f t="shared" si="130"/>
        <v/>
      </c>
      <c r="Y270" s="128"/>
    </row>
    <row r="271" spans="1:25" ht="20.100000000000001" customHeight="1" x14ac:dyDescent="0.2">
      <c r="A271" s="116" t="s">
        <v>72</v>
      </c>
      <c r="B271" s="122">
        <v>90853</v>
      </c>
      <c r="C271" s="122"/>
      <c r="D271" s="123" t="str">
        <f t="array" ref="D271">IFERROR(INDEX('Crosswalk '!$C$9:$C$94,MATCH(1,(B271='Crosswalk '!$B$9:$B$94)*(E271='Crosswalk '!$G$9:$G$94),0)),"")</f>
        <v/>
      </c>
      <c r="E271" s="291" t="str">
        <f t="array" ref="E271">IFERROR(INDEX('Crosswalk '!$E$106:$E$125,MATCH(1,($A$257='Crosswalk '!$D$106:$D$125)*($C271='Crosswalk '!$F$106:$F$125),0)),"")</f>
        <v/>
      </c>
      <c r="F271" s="485"/>
      <c r="G271" s="486"/>
      <c r="H271" s="159" t="str">
        <f t="array" ref="H271">IFERROR(INDEX('Crosswalk '!$E$9:$E$103,MATCH(1,($B271='Crosswalk '!$B$9:$B$103)*($E271='Crosswalk '!$G$9:$G$103),0)),"")</f>
        <v/>
      </c>
      <c r="I271" s="166"/>
      <c r="J271" s="126" t="str">
        <f t="shared" si="124"/>
        <v/>
      </c>
      <c r="K271" s="200">
        <f t="shared" si="125"/>
        <v>0</v>
      </c>
      <c r="L271" s="294">
        <f t="shared" si="128"/>
        <v>0</v>
      </c>
      <c r="M271" s="294">
        <f t="shared" si="126"/>
        <v>0</v>
      </c>
      <c r="N271" s="186">
        <f t="shared" si="127"/>
        <v>0</v>
      </c>
      <c r="O271" s="201" t="str">
        <f>IFERROR(ROUND(N271/'Direct Prof Sal &amp; Fringes  '!$L$8,8),"")</f>
        <v/>
      </c>
      <c r="P271" s="186" t="str">
        <f>IF(ISBLANK(O271),"",IFERROR(ROUND(O271*' Indirect Non-prof Sal &amp; Fringe'!$M$42,0),""))</f>
        <v/>
      </c>
      <c r="Q271" s="186" t="str">
        <f>IF(ISBLANK(O271),"",IFERROR(ROUND(O271*'Direct and Indirect Expenses'!$K$20,0),""))</f>
        <v/>
      </c>
      <c r="R271" s="309">
        <f>IFERROR(SUMIF('Direct and Indirect Expenses'!$B$14:$B$34,'Financial Summary &amp; Stats'!B271,'Direct and Indirect Expenses'!$H$14:$H$34)*N271/SUMIF('Financial Summary &amp; Stats'!$B:$B,'Financial Summary &amp; Stats'!B271,'Financial Summary &amp; Stats'!$N:$N),0)</f>
        <v>0</v>
      </c>
      <c r="S271" s="595"/>
      <c r="T271" s="202">
        <f>IFERROR(IF('Direct and Indirect Expenses'!$A$9="Other Indirect Allocation Method",(ROUND((N271+P271)/($N$8+$P$8)*'Direct and Indirect Expenses'!$C$9,0)),ROUND((N271+P271)*'Direct and Indirect Expenses'!$B$9,0)),0)</f>
        <v>0</v>
      </c>
      <c r="U271" s="202">
        <f t="shared" si="129"/>
        <v>0</v>
      </c>
      <c r="V271" s="293" t="str">
        <f t="shared" si="130"/>
        <v/>
      </c>
      <c r="Y271" s="128"/>
    </row>
    <row r="272" spans="1:25" ht="20.100000000000001" customHeight="1" x14ac:dyDescent="0.2">
      <c r="A272" s="116" t="s">
        <v>127</v>
      </c>
      <c r="B272" s="122">
        <v>90832</v>
      </c>
      <c r="C272" s="122"/>
      <c r="D272" s="123" t="str">
        <f t="array" ref="D272">IFERROR(INDEX('Crosswalk '!$C$9:$C$94,MATCH(1,(B272='Crosswalk '!$B$9:$B$94)*(E272='Crosswalk '!$G$9:$G$94),0)),"")</f>
        <v/>
      </c>
      <c r="E272" s="291" t="str">
        <f t="array" ref="E272">IFERROR(INDEX('Crosswalk '!$E$106:$E$125,MATCH(1,($A$257='Crosswalk '!$D$106:$D$125)*($C272='Crosswalk '!$F$106:$F$125),0)),"")</f>
        <v/>
      </c>
      <c r="F272" s="485"/>
      <c r="G272" s="181"/>
      <c r="H272" s="159" t="str">
        <f t="array" ref="H272">IFERROR(INDEX('Crosswalk '!$E$9:$E$103,MATCH(1,($B272='Crosswalk '!$B$9:$B$103)*($E272='Crosswalk '!$G$9:$G$103),0)),"")</f>
        <v/>
      </c>
      <c r="I272" s="125">
        <f t="shared" ref="I272:I279" si="131">IFERROR(ROUND(F272*H272,2),0)</f>
        <v>0</v>
      </c>
      <c r="J272" s="126" t="str">
        <f t="shared" si="124"/>
        <v/>
      </c>
      <c r="K272" s="200">
        <f t="shared" si="125"/>
        <v>0</v>
      </c>
      <c r="L272" s="294">
        <f t="shared" si="128"/>
        <v>0</v>
      </c>
      <c r="M272" s="294">
        <f t="shared" si="126"/>
        <v>0</v>
      </c>
      <c r="N272" s="186">
        <f t="shared" si="127"/>
        <v>0</v>
      </c>
      <c r="O272" s="201" t="str">
        <f>IFERROR(ROUND(N272/'Direct Prof Sal &amp; Fringes  '!$L$8,8),"")</f>
        <v/>
      </c>
      <c r="P272" s="186" t="str">
        <f>IF(ISBLANK(O272),"",IFERROR(ROUND(O272*' Indirect Non-prof Sal &amp; Fringe'!$M$42,0),""))</f>
        <v/>
      </c>
      <c r="Q272" s="186" t="str">
        <f>IF(ISBLANK(O272),"",IFERROR(ROUND(O272*'Direct and Indirect Expenses'!$K$20,0),""))</f>
        <v/>
      </c>
      <c r="R272" s="309">
        <f>IFERROR(SUMIF('Direct and Indirect Expenses'!$B$14:$B$34,'Financial Summary &amp; Stats'!B272,'Direct and Indirect Expenses'!$H$14:$H$34)*N272/SUMIF('Financial Summary &amp; Stats'!$B:$B,'Financial Summary &amp; Stats'!B272,'Financial Summary &amp; Stats'!$N:$N),0)</f>
        <v>0</v>
      </c>
      <c r="S272" s="595"/>
      <c r="T272" s="202">
        <f>IFERROR(IF('Direct and Indirect Expenses'!$A$9="Other Indirect Allocation Method",(ROUND((N272+P272)/($N$8+$P$8)*'Direct and Indirect Expenses'!$C$9,0)),ROUND((N272+P272)*'Direct and Indirect Expenses'!$B$9,0)),0)</f>
        <v>0</v>
      </c>
      <c r="U272" s="202">
        <f t="shared" si="129"/>
        <v>0</v>
      </c>
      <c r="V272" s="293" t="str">
        <f t="shared" si="130"/>
        <v/>
      </c>
      <c r="Y272" s="128"/>
    </row>
    <row r="273" spans="1:25" ht="20.100000000000001" customHeight="1" x14ac:dyDescent="0.2">
      <c r="A273" s="116" t="s">
        <v>128</v>
      </c>
      <c r="B273" s="122">
        <v>90834</v>
      </c>
      <c r="C273" s="122"/>
      <c r="D273" s="123" t="str">
        <f t="array" ref="D273">IFERROR(INDEX('Crosswalk '!$C$9:$C$94,MATCH(1,(B273='Crosswalk '!$B$9:$B$94)*(E273='Crosswalk '!$G$9:$G$94),0)),"")</f>
        <v/>
      </c>
      <c r="E273" s="291" t="str">
        <f t="array" ref="E273">IFERROR(INDEX('Crosswalk '!$E$106:$E$125,MATCH(1,($A$257='Crosswalk '!$D$106:$D$125)*($C273='Crosswalk '!$F$106:$F$125),0)),"")</f>
        <v/>
      </c>
      <c r="F273" s="485"/>
      <c r="G273" s="181"/>
      <c r="H273" s="159" t="str">
        <f t="array" ref="H273">IFERROR(INDEX('Crosswalk '!$E$9:$E$103,MATCH(1,($B273='Crosswalk '!$B$9:$B$103)*($E273='Crosswalk '!$G$9:$G$103),0)),"")</f>
        <v/>
      </c>
      <c r="I273" s="125">
        <f t="shared" si="131"/>
        <v>0</v>
      </c>
      <c r="J273" s="126" t="str">
        <f t="shared" si="124"/>
        <v/>
      </c>
      <c r="K273" s="200">
        <f t="shared" si="125"/>
        <v>0</v>
      </c>
      <c r="L273" s="294">
        <f t="shared" si="128"/>
        <v>0</v>
      </c>
      <c r="M273" s="294">
        <f t="shared" si="126"/>
        <v>0</v>
      </c>
      <c r="N273" s="186">
        <f t="shared" si="127"/>
        <v>0</v>
      </c>
      <c r="O273" s="201" t="str">
        <f>IFERROR(ROUND(N273/'Direct Prof Sal &amp; Fringes  '!$L$8,8),"")</f>
        <v/>
      </c>
      <c r="P273" s="186" t="str">
        <f>IF(ISBLANK(O273),"",IFERROR(ROUND(O273*' Indirect Non-prof Sal &amp; Fringe'!$M$42,0),""))</f>
        <v/>
      </c>
      <c r="Q273" s="186" t="str">
        <f>IF(ISBLANK(O273),"",IFERROR(ROUND(O273*'Direct and Indirect Expenses'!$K$20,0),""))</f>
        <v/>
      </c>
      <c r="R273" s="309">
        <f>IFERROR(SUMIF('Direct and Indirect Expenses'!$B$14:$B$34,'Financial Summary &amp; Stats'!B273,'Direct and Indirect Expenses'!$H$14:$H$34)*N273/SUMIF('Financial Summary &amp; Stats'!$B:$B,'Financial Summary &amp; Stats'!B273,'Financial Summary &amp; Stats'!$N:$N),0)</f>
        <v>0</v>
      </c>
      <c r="S273" s="595"/>
      <c r="T273" s="202">
        <f>IFERROR(IF('Direct and Indirect Expenses'!$A$9="Other Indirect Allocation Method",(ROUND((N273+P273)/($N$8+$P$8)*'Direct and Indirect Expenses'!$C$9,0)),ROUND((N273+P273)*'Direct and Indirect Expenses'!$B$9,0)),0)</f>
        <v>0</v>
      </c>
      <c r="U273" s="202">
        <f t="shared" si="129"/>
        <v>0</v>
      </c>
      <c r="V273" s="293" t="str">
        <f t="shared" si="130"/>
        <v/>
      </c>
      <c r="Y273" s="128"/>
    </row>
    <row r="274" spans="1:25" ht="20.100000000000001" customHeight="1" x14ac:dyDescent="0.2">
      <c r="A274" s="116" t="s">
        <v>129</v>
      </c>
      <c r="B274" s="122">
        <v>90837</v>
      </c>
      <c r="C274" s="122"/>
      <c r="D274" s="123" t="str">
        <f t="array" ref="D274">IFERROR(INDEX('Crosswalk '!$C$9:$C$94,MATCH(1,(B274='Crosswalk '!$B$9:$B$94)*(E274='Crosswalk '!$G$9:$G$94),0)),"")</f>
        <v/>
      </c>
      <c r="E274" s="291" t="str">
        <f t="array" ref="E274">IFERROR(INDEX('Crosswalk '!$E$106:$E$125,MATCH(1,($A$257='Crosswalk '!$D$106:$D$125)*($C274='Crosswalk '!$F$106:$F$125),0)),"")</f>
        <v/>
      </c>
      <c r="F274" s="485"/>
      <c r="G274" s="181"/>
      <c r="H274" s="159" t="str">
        <f t="array" ref="H274">IFERROR(INDEX('Crosswalk '!$E$9:$E$103,MATCH(1,($B274='Crosswalk '!$B$9:$B$103)*($E274='Crosswalk '!$G$9:$G$103),0)),"")</f>
        <v/>
      </c>
      <c r="I274" s="125">
        <f t="shared" si="131"/>
        <v>0</v>
      </c>
      <c r="J274" s="126" t="str">
        <f t="shared" si="124"/>
        <v/>
      </c>
      <c r="K274" s="200">
        <f t="shared" si="125"/>
        <v>0</v>
      </c>
      <c r="L274" s="294">
        <f t="shared" si="128"/>
        <v>0</v>
      </c>
      <c r="M274" s="294">
        <f t="shared" si="126"/>
        <v>0</v>
      </c>
      <c r="N274" s="186">
        <f t="shared" si="127"/>
        <v>0</v>
      </c>
      <c r="O274" s="201" t="str">
        <f>IFERROR(ROUND(N274/'Direct Prof Sal &amp; Fringes  '!$L$8,8),"")</f>
        <v/>
      </c>
      <c r="P274" s="186" t="str">
        <f>IF(ISBLANK(O274),"",IFERROR(ROUND(O274*' Indirect Non-prof Sal &amp; Fringe'!$M$42,0),""))</f>
        <v/>
      </c>
      <c r="Q274" s="186" t="str">
        <f>IF(ISBLANK(O274),"",IFERROR(ROUND(O274*'Direct and Indirect Expenses'!$K$20,0),""))</f>
        <v/>
      </c>
      <c r="R274" s="309">
        <f>IFERROR(SUMIF('Direct and Indirect Expenses'!$B$14:$B$34,'Financial Summary &amp; Stats'!B274,'Direct and Indirect Expenses'!$H$14:$H$34)*N274/SUMIF('Financial Summary &amp; Stats'!$B:$B,'Financial Summary &amp; Stats'!B274,'Financial Summary &amp; Stats'!$N:$N),0)</f>
        <v>0</v>
      </c>
      <c r="S274" s="595"/>
      <c r="T274" s="202">
        <f>IFERROR(IF('Direct and Indirect Expenses'!$A$9="Other Indirect Allocation Method",(ROUND((N274+P274)/($N$8+$P$8)*'Direct and Indirect Expenses'!$C$9,0)),ROUND((N274+P274)*'Direct and Indirect Expenses'!$B$9,0)),0)</f>
        <v>0</v>
      </c>
      <c r="U274" s="202">
        <f t="shared" si="129"/>
        <v>0</v>
      </c>
      <c r="V274" s="293" t="str">
        <f t="shared" si="130"/>
        <v/>
      </c>
      <c r="Y274" s="128"/>
    </row>
    <row r="275" spans="1:25" ht="20.100000000000001" customHeight="1" x14ac:dyDescent="0.2">
      <c r="A275" s="116" t="s">
        <v>114</v>
      </c>
      <c r="B275" s="122" t="s">
        <v>113</v>
      </c>
      <c r="C275" s="122"/>
      <c r="D275" s="123" t="str">
        <f t="array" ref="D275">IFERROR(INDEX('Crosswalk '!$C$9:$C$94,MATCH(1,(B275='Crosswalk '!$B$9:$B$94)*(E275='Crosswalk '!$G$9:$G$94),0)),"")</f>
        <v/>
      </c>
      <c r="E275" s="291" t="str">
        <f t="array" ref="E275">IFERROR(INDEX('Crosswalk '!$E$106:$E$125,MATCH(1,($A$257='Crosswalk '!$D$106:$D$125)*($C275='Crosswalk '!$F$106:$F$125),0)),"")</f>
        <v/>
      </c>
      <c r="F275" s="485"/>
      <c r="G275" s="181"/>
      <c r="H275" s="159" t="str">
        <f t="array" ref="H275">IFERROR(INDEX('Crosswalk '!$E$9:$E$103,MATCH(1,($B275='Crosswalk '!$B$9:$B$103)*($E275='Crosswalk '!$G$9:$G$103),0)),"")</f>
        <v/>
      </c>
      <c r="I275" s="125">
        <f t="shared" si="131"/>
        <v>0</v>
      </c>
      <c r="J275" s="126" t="str">
        <f t="shared" si="124"/>
        <v/>
      </c>
      <c r="K275" s="200">
        <f t="shared" si="125"/>
        <v>0</v>
      </c>
      <c r="L275" s="294">
        <f t="shared" si="128"/>
        <v>0</v>
      </c>
      <c r="M275" s="294">
        <f t="shared" si="126"/>
        <v>0</v>
      </c>
      <c r="N275" s="186">
        <f t="shared" si="127"/>
        <v>0</v>
      </c>
      <c r="O275" s="201" t="str">
        <f>IFERROR(ROUND(N275/'Direct Prof Sal &amp; Fringes  '!$L$8,8),"")</f>
        <v/>
      </c>
      <c r="P275" s="186" t="str">
        <f>IF(ISBLANK(O275),"",IFERROR(ROUND(O275*' Indirect Non-prof Sal &amp; Fringe'!$M$42,0),""))</f>
        <v/>
      </c>
      <c r="Q275" s="186" t="str">
        <f>IF(ISBLANK(O275),"",IFERROR(ROUND(O275*'Direct and Indirect Expenses'!$K$20,0),""))</f>
        <v/>
      </c>
      <c r="R275" s="309">
        <f>IFERROR(SUMIF('Direct and Indirect Expenses'!$B$14:$B$34,'Financial Summary &amp; Stats'!B275,'Direct and Indirect Expenses'!$H$14:$H$34)*N275/SUMIF('Financial Summary &amp; Stats'!$B:$B,'Financial Summary &amp; Stats'!B275,'Financial Summary &amp; Stats'!$N:$N),0)</f>
        <v>0</v>
      </c>
      <c r="S275" s="595"/>
      <c r="T275" s="202">
        <f>IFERROR(IF('Direct and Indirect Expenses'!$A$9="Other Indirect Allocation Method",(ROUND((N275+P275)/($N$8+$P$8)*'Direct and Indirect Expenses'!$C$9,0)),ROUND((N275+P275)*'Direct and Indirect Expenses'!$B$9,0)),0)</f>
        <v>0</v>
      </c>
      <c r="U275" s="202">
        <f t="shared" si="129"/>
        <v>0</v>
      </c>
      <c r="V275" s="293" t="str">
        <f t="shared" si="130"/>
        <v/>
      </c>
      <c r="Y275" s="128"/>
    </row>
    <row r="276" spans="1:25" ht="20.100000000000001" customHeight="1" x14ac:dyDescent="0.2">
      <c r="A276" s="116" t="s">
        <v>130</v>
      </c>
      <c r="B276" s="122">
        <v>90849</v>
      </c>
      <c r="C276" s="122"/>
      <c r="D276" s="123" t="str">
        <f t="array" ref="D276">IFERROR(INDEX('Crosswalk '!$C$9:$C$94,MATCH(1,(B276='Crosswalk '!$B$9:$B$94)*(E276='Crosswalk '!$G$9:$G$94),0)),"")</f>
        <v/>
      </c>
      <c r="E276" s="291" t="str">
        <f t="array" ref="E276">IFERROR(INDEX('Crosswalk '!$E$106:$E$125,MATCH(1,($A$257='Crosswalk '!$D$106:$D$125)*($C276='Crosswalk '!$F$106:$F$125),0)),"")</f>
        <v/>
      </c>
      <c r="F276" s="485"/>
      <c r="G276" s="181"/>
      <c r="H276" s="159" t="str">
        <f t="array" ref="H276">IFERROR(INDEX('Crosswalk '!$E$9:$E$103,MATCH(1,($B276='Crosswalk '!$B$9:$B$103)*($E276='Crosswalk '!$G$9:$G$103),0)),"")</f>
        <v/>
      </c>
      <c r="I276" s="125">
        <f t="shared" si="131"/>
        <v>0</v>
      </c>
      <c r="J276" s="126" t="str">
        <f t="shared" si="124"/>
        <v/>
      </c>
      <c r="K276" s="200">
        <f t="shared" si="125"/>
        <v>0</v>
      </c>
      <c r="L276" s="294">
        <f t="shared" si="128"/>
        <v>0</v>
      </c>
      <c r="M276" s="294">
        <f t="shared" si="126"/>
        <v>0</v>
      </c>
      <c r="N276" s="186">
        <f t="shared" si="127"/>
        <v>0</v>
      </c>
      <c r="O276" s="201" t="str">
        <f>IFERROR(ROUND(N276/'Direct Prof Sal &amp; Fringes  '!$L$8,8),"")</f>
        <v/>
      </c>
      <c r="P276" s="186" t="str">
        <f>IF(ISBLANK(O276),"",IFERROR(ROUND(O276*' Indirect Non-prof Sal &amp; Fringe'!$M$42,0),""))</f>
        <v/>
      </c>
      <c r="Q276" s="186" t="str">
        <f>IF(ISBLANK(O276),"",IFERROR(ROUND(O276*'Direct and Indirect Expenses'!$K$20,0),""))</f>
        <v/>
      </c>
      <c r="R276" s="309">
        <f>IFERROR(SUMIF('Direct and Indirect Expenses'!$B$14:$B$34,'Financial Summary &amp; Stats'!B276,'Direct and Indirect Expenses'!$H$14:$H$34)*N276/SUMIF('Financial Summary &amp; Stats'!$B:$B,'Financial Summary &amp; Stats'!B276,'Financial Summary &amp; Stats'!$N:$N),0)</f>
        <v>0</v>
      </c>
      <c r="S276" s="595"/>
      <c r="T276" s="202">
        <f>IFERROR(IF('Direct and Indirect Expenses'!$A$9="Other Indirect Allocation Method",(ROUND((N276+P276)/($N$8+$P$8)*'Direct and Indirect Expenses'!$C$9,0)),ROUND((N276+P276)*'Direct and Indirect Expenses'!$B$9,0)),0)</f>
        <v>0</v>
      </c>
      <c r="U276" s="202">
        <f t="shared" si="129"/>
        <v>0</v>
      </c>
      <c r="V276" s="293" t="str">
        <f t="shared" si="130"/>
        <v/>
      </c>
      <c r="Y276" s="128"/>
    </row>
    <row r="277" spans="1:25" ht="20.100000000000001" customHeight="1" x14ac:dyDescent="0.2">
      <c r="A277" s="116" t="s">
        <v>83</v>
      </c>
      <c r="B277" s="122" t="s">
        <v>84</v>
      </c>
      <c r="C277" s="122"/>
      <c r="D277" s="123">
        <f t="array" ref="D277">IFERROR(INDEX('Crosswalk '!$C$9:$C$94,MATCH(1,(B277='Crosswalk '!$B$9:$B$94)*(E277='Crosswalk '!$G$9:$G$94),0)),"")</f>
        <v>0</v>
      </c>
      <c r="E277" s="291" t="str">
        <f t="array" ref="E277">IFERROR(INDEX('Crosswalk '!$E$106:$E$125,MATCH(1,($A$257='Crosswalk '!$D$106:$D$125)*($C277='Crosswalk '!$F$106:$F$125),0)),"")</f>
        <v/>
      </c>
      <c r="F277" s="485"/>
      <c r="G277" s="181"/>
      <c r="H277" s="159">
        <f t="array" ref="H277">IFERROR(INDEX('Crosswalk '!$E$9:$E$103,MATCH(1,($B277='Crosswalk '!$B$9:$B$103)*($E277='Crosswalk '!$G$9:$G$103),0)),"")</f>
        <v>0.25</v>
      </c>
      <c r="I277" s="125">
        <f t="shared" si="131"/>
        <v>0</v>
      </c>
      <c r="J277" s="126">
        <f t="shared" si="124"/>
        <v>0</v>
      </c>
      <c r="K277" s="200">
        <f t="shared" si="125"/>
        <v>0</v>
      </c>
      <c r="L277" s="294">
        <f t="shared" si="128"/>
        <v>0</v>
      </c>
      <c r="M277" s="294">
        <f t="shared" si="126"/>
        <v>0</v>
      </c>
      <c r="N277" s="186">
        <f t="shared" si="127"/>
        <v>0</v>
      </c>
      <c r="O277" s="201" t="str">
        <f>IFERROR(ROUND(N277/'Direct Prof Sal &amp; Fringes  '!$L$8,8),"")</f>
        <v/>
      </c>
      <c r="P277" s="186" t="str">
        <f>IF(ISBLANK(O277),"",IFERROR(ROUND(O277*' Indirect Non-prof Sal &amp; Fringe'!$M$42,0),""))</f>
        <v/>
      </c>
      <c r="Q277" s="186" t="str">
        <f>IF(ISBLANK(O277),"",IFERROR(ROUND(O277*'Direct and Indirect Expenses'!$K$20,0),""))</f>
        <v/>
      </c>
      <c r="R277" s="309">
        <f>IFERROR(SUMIF('Direct and Indirect Expenses'!$B$14:$B$34,'Financial Summary &amp; Stats'!B277,'Direct and Indirect Expenses'!$H$14:$H$34)*N277/SUMIF('Financial Summary &amp; Stats'!$B:$B,'Financial Summary &amp; Stats'!B277,'Financial Summary &amp; Stats'!$N:$N),0)</f>
        <v>0</v>
      </c>
      <c r="S277" s="595"/>
      <c r="T277" s="202">
        <f>IFERROR(IF('Direct and Indirect Expenses'!$A$9="Other Indirect Allocation Method",(ROUND((N277+P277)/($N$8+$P$8)*'Direct and Indirect Expenses'!$C$9,0)),ROUND((N277+P277)*'Direct and Indirect Expenses'!$B$9,0)),0)</f>
        <v>0</v>
      </c>
      <c r="U277" s="202">
        <f t="shared" si="129"/>
        <v>0</v>
      </c>
      <c r="V277" s="293" t="str">
        <f t="shared" si="130"/>
        <v/>
      </c>
      <c r="Y277" s="128"/>
    </row>
    <row r="278" spans="1:25" ht="20.100000000000001" customHeight="1" x14ac:dyDescent="0.2">
      <c r="A278" s="116" t="s">
        <v>132</v>
      </c>
      <c r="B278" s="122">
        <v>90792</v>
      </c>
      <c r="C278" s="122"/>
      <c r="D278" s="123" t="str">
        <f t="array" ref="D278">IFERROR(INDEX('Crosswalk '!$C$9:$C$94,MATCH(1,(B278='Crosswalk '!$B$9:$B$94)*(E278='Crosswalk '!$G$9:$G$94),0)),"")</f>
        <v/>
      </c>
      <c r="E278" s="291" t="str">
        <f t="array" ref="E278">IFERROR(INDEX('Crosswalk '!$E$106:$E$125,MATCH(1,($A$257='Crosswalk '!$D$106:$D$125)*($C278='Crosswalk '!$F$106:$F$125),0)),"")</f>
        <v/>
      </c>
      <c r="F278" s="485"/>
      <c r="G278" s="181"/>
      <c r="H278" s="159" t="str">
        <f t="array" ref="H278">IFERROR(INDEX('Crosswalk '!$E$9:$E$103,MATCH(1,($B278='Crosswalk '!$B$9:$B$103)*($E278='Crosswalk '!$G$9:$G$103),0)),"")</f>
        <v/>
      </c>
      <c r="I278" s="125">
        <f t="shared" si="131"/>
        <v>0</v>
      </c>
      <c r="J278" s="126" t="str">
        <f t="shared" si="124"/>
        <v/>
      </c>
      <c r="K278" s="200">
        <f t="shared" si="125"/>
        <v>0</v>
      </c>
      <c r="L278" s="294">
        <f t="shared" si="128"/>
        <v>0</v>
      </c>
      <c r="M278" s="294">
        <f t="shared" si="126"/>
        <v>0</v>
      </c>
      <c r="N278" s="186">
        <f t="shared" si="127"/>
        <v>0</v>
      </c>
      <c r="O278" s="201" t="str">
        <f>IFERROR(ROUND(N278/'Direct Prof Sal &amp; Fringes  '!$L$8,8),"")</f>
        <v/>
      </c>
      <c r="P278" s="186" t="str">
        <f>IF(ISBLANK(O278),"",IFERROR(ROUND(O278*' Indirect Non-prof Sal &amp; Fringe'!$M$42,0),""))</f>
        <v/>
      </c>
      <c r="Q278" s="186" t="str">
        <f>IF(ISBLANK(O278),"",IFERROR(ROUND(O278*'Direct and Indirect Expenses'!$K$20,0),""))</f>
        <v/>
      </c>
      <c r="R278" s="309">
        <f>IFERROR(SUMIF('Direct and Indirect Expenses'!$B$14:$B$34,'Financial Summary &amp; Stats'!B278,'Direct and Indirect Expenses'!$H$14:$H$34)*N278/SUMIF('Financial Summary &amp; Stats'!$B:$B,'Financial Summary &amp; Stats'!B278,'Financial Summary &amp; Stats'!$N:$N),0)</f>
        <v>0</v>
      </c>
      <c r="S278" s="595"/>
      <c r="T278" s="202">
        <f>IFERROR(IF('Direct and Indirect Expenses'!$A$9="Other Indirect Allocation Method",(ROUND((N278+P278)/($N$8+$P$8)*'Direct and Indirect Expenses'!$C$9,0)),ROUND((N278+P278)*'Direct and Indirect Expenses'!$B$9,0)),0)</f>
        <v>0</v>
      </c>
      <c r="U278" s="202">
        <f t="shared" si="129"/>
        <v>0</v>
      </c>
      <c r="V278" s="293" t="str">
        <f t="shared" si="130"/>
        <v/>
      </c>
      <c r="Y278" s="128"/>
    </row>
    <row r="279" spans="1:25" ht="20.100000000000001" customHeight="1" x14ac:dyDescent="0.2">
      <c r="A279" s="116" t="s">
        <v>131</v>
      </c>
      <c r="B279" s="122">
        <v>90791</v>
      </c>
      <c r="C279" s="122"/>
      <c r="D279" s="123" t="str">
        <f t="array" ref="D279">IFERROR(INDEX('Crosswalk '!$C$9:$C$94,MATCH(1,(B279='Crosswalk '!$B$9:$B$94)*(E279='Crosswalk '!$G$9:$G$94),0)),"")</f>
        <v/>
      </c>
      <c r="E279" s="291" t="str">
        <f t="array" ref="E279">IFERROR(INDEX('Crosswalk '!$E$106:$E$125,MATCH(1,($A$257='Crosswalk '!$D$106:$D$125)*($C279='Crosswalk '!$F$106:$F$125),0)),"")</f>
        <v/>
      </c>
      <c r="F279" s="485"/>
      <c r="G279" s="181"/>
      <c r="H279" s="159" t="str">
        <f t="array" ref="H279">IFERROR(INDEX('Crosswalk '!$E$9:$E$103,MATCH(1,($B279='Crosswalk '!$B$9:$B$103)*($E279='Crosswalk '!$G$9:$G$103),0)),"")</f>
        <v/>
      </c>
      <c r="I279" s="125">
        <f t="shared" si="131"/>
        <v>0</v>
      </c>
      <c r="J279" s="126" t="str">
        <f t="shared" si="124"/>
        <v/>
      </c>
      <c r="K279" s="200">
        <f t="shared" si="125"/>
        <v>0</v>
      </c>
      <c r="L279" s="294">
        <f t="shared" si="128"/>
        <v>0</v>
      </c>
      <c r="M279" s="294">
        <f t="shared" si="126"/>
        <v>0</v>
      </c>
      <c r="N279" s="186">
        <f t="shared" si="127"/>
        <v>0</v>
      </c>
      <c r="O279" s="201" t="str">
        <f>IFERROR(ROUND(N279/'Direct Prof Sal &amp; Fringes  '!$L$8,8),"")</f>
        <v/>
      </c>
      <c r="P279" s="186" t="str">
        <f>IF(ISBLANK(O279),"",IFERROR(ROUND(O279*' Indirect Non-prof Sal &amp; Fringe'!$M$42,0),""))</f>
        <v/>
      </c>
      <c r="Q279" s="186" t="str">
        <f>IF(ISBLANK(O279),"",IFERROR(ROUND(O279*'Direct and Indirect Expenses'!$K$20,0),""))</f>
        <v/>
      </c>
      <c r="R279" s="309">
        <f>IFERROR(SUMIF('Direct and Indirect Expenses'!$B$14:$B$34,'Financial Summary &amp; Stats'!B279,'Direct and Indirect Expenses'!$H$14:$H$34)*N279/SUMIF('Financial Summary &amp; Stats'!$B:$B,'Financial Summary &amp; Stats'!B279,'Financial Summary &amp; Stats'!$N:$N),0)</f>
        <v>0</v>
      </c>
      <c r="S279" s="595"/>
      <c r="T279" s="202">
        <f>IFERROR(IF('Direct and Indirect Expenses'!$A$9="Other Indirect Allocation Method",(ROUND((N279+P279)/($N$8+$P$8)*'Direct and Indirect Expenses'!$C$9,0)),ROUND((N279+P279)*'Direct and Indirect Expenses'!$B$9,0)),0)</f>
        <v>0</v>
      </c>
      <c r="U279" s="202">
        <f t="shared" si="129"/>
        <v>0</v>
      </c>
      <c r="V279" s="293" t="str">
        <f t="shared" si="130"/>
        <v/>
      </c>
      <c r="Y279" s="128"/>
    </row>
    <row r="280" spans="1:25" ht="20.100000000000001" customHeight="1" x14ac:dyDescent="0.2">
      <c r="A280" s="116" t="s">
        <v>116</v>
      </c>
      <c r="B280" s="122" t="s">
        <v>85</v>
      </c>
      <c r="C280" s="122" t="s">
        <v>195</v>
      </c>
      <c r="D280" s="123" t="str">
        <f t="array" ref="D280">IFERROR(INDEX('Crosswalk '!$C$9:$C$94,MATCH(1,(B280='Crosswalk '!$B$9:$B$94)*(E280='Crosswalk '!$G$9:$G$94),0)),"")</f>
        <v/>
      </c>
      <c r="E280" s="291" t="str">
        <f t="array" ref="E280">IFERROR(INDEX('Crosswalk '!$E$106:$E$125,MATCH(1,($A$257='Crosswalk '!$D$106:$D$125)*($C280='Crosswalk '!$F$106:$F$125),0)),"")</f>
        <v/>
      </c>
      <c r="F280" s="485"/>
      <c r="G280" s="181"/>
      <c r="H280" s="159" t="str">
        <f t="array" ref="H280">IFERROR(INDEX('Crosswalk '!$E$9:$E$103,MATCH(1,($B280='Crosswalk '!$B$9:$B$103)*($E280='Crosswalk '!$G$9:$G$103),0)),"")</f>
        <v/>
      </c>
      <c r="I280" s="125"/>
      <c r="J280" s="126" t="str">
        <f t="shared" si="124"/>
        <v/>
      </c>
      <c r="K280" s="200">
        <f t="shared" si="125"/>
        <v>0</v>
      </c>
      <c r="L280" s="294">
        <f t="shared" si="128"/>
        <v>0</v>
      </c>
      <c r="M280" s="294">
        <f t="shared" si="126"/>
        <v>0</v>
      </c>
      <c r="N280" s="186">
        <f t="shared" si="127"/>
        <v>0</v>
      </c>
      <c r="O280" s="201" t="str">
        <f>IFERROR(ROUND(N280/'Direct Prof Sal &amp; Fringes  '!$L$8,8),"")</f>
        <v/>
      </c>
      <c r="P280" s="186" t="str">
        <f>IF(ISBLANK(O280),"",IFERROR(ROUND(O280*' Indirect Non-prof Sal &amp; Fringe'!$M$42,0),""))</f>
        <v/>
      </c>
      <c r="Q280" s="186" t="str">
        <f>IF(ISBLANK(O280),"",IFERROR(ROUND(O280*'Direct and Indirect Expenses'!$K$20,0),""))</f>
        <v/>
      </c>
      <c r="R280" s="309">
        <f>IFERROR(SUMIF('Direct and Indirect Expenses'!$B$14:$B$34,'Financial Summary &amp; Stats'!B280,'Direct and Indirect Expenses'!$H$14:$H$34)*N280/SUMIF('Financial Summary &amp; Stats'!$B:$B,'Financial Summary &amp; Stats'!B280,'Financial Summary &amp; Stats'!$N:$N),0)</f>
        <v>0</v>
      </c>
      <c r="S280" s="595"/>
      <c r="T280" s="202">
        <f>IFERROR(IF('Direct and Indirect Expenses'!$A$9="Other Indirect Allocation Method",(ROUND((N280+P280)/($N$8+$P$8)*'Direct and Indirect Expenses'!$C$9,0)),ROUND((N280+P280)*'Direct and Indirect Expenses'!$B$9,0)),0)</f>
        <v>0</v>
      </c>
      <c r="U280" s="202">
        <f t="shared" si="129"/>
        <v>0</v>
      </c>
      <c r="V280" s="293" t="str">
        <f t="shared" si="130"/>
        <v/>
      </c>
      <c r="Y280" s="128"/>
    </row>
    <row r="281" spans="1:25" ht="20.100000000000001" customHeight="1" x14ac:dyDescent="0.2">
      <c r="A281" s="116" t="s">
        <v>116</v>
      </c>
      <c r="B281" s="122" t="s">
        <v>85</v>
      </c>
      <c r="C281" s="122" t="s">
        <v>196</v>
      </c>
      <c r="D281" s="123" t="str">
        <f t="array" ref="D281">IFERROR(INDEX('Crosswalk '!$C$9:$C$94,MATCH(1,(B281='Crosswalk '!$B$9:$B$94)*(E281='Crosswalk '!$G$9:$G$94),0)),"")</f>
        <v/>
      </c>
      <c r="E281" s="291" t="str">
        <f t="array" ref="E281">IFERROR(INDEX('Crosswalk '!$E$106:$E$125,MATCH(1,($A$257='Crosswalk '!$D$106:$D$125)*($C281='Crosswalk '!$F$106:$F$125),0)),"")</f>
        <v/>
      </c>
      <c r="F281" s="485"/>
      <c r="G281" s="486"/>
      <c r="H281" s="159" t="str">
        <f t="array" ref="H281">IFERROR(INDEX('Crosswalk '!$E$9:$E$103,MATCH(1,($B281='Crosswalk '!$B$9:$B$103)*($E281='Crosswalk '!$G$9:$G$103),0)),"")</f>
        <v/>
      </c>
      <c r="I281" s="166"/>
      <c r="J281" s="126" t="str">
        <f t="shared" si="124"/>
        <v/>
      </c>
      <c r="K281" s="200">
        <f t="shared" si="125"/>
        <v>0</v>
      </c>
      <c r="L281" s="294">
        <f t="shared" si="128"/>
        <v>0</v>
      </c>
      <c r="M281" s="294">
        <f t="shared" si="126"/>
        <v>0</v>
      </c>
      <c r="N281" s="186">
        <f t="shared" si="127"/>
        <v>0</v>
      </c>
      <c r="O281" s="201" t="str">
        <f>IFERROR(ROUND(N281/'Direct Prof Sal &amp; Fringes  '!$L$8,8),"")</f>
        <v/>
      </c>
      <c r="P281" s="186" t="str">
        <f>IF(ISBLANK(O281),"",IFERROR(ROUND(O281*' Indirect Non-prof Sal &amp; Fringe'!$M$42,0),""))</f>
        <v/>
      </c>
      <c r="Q281" s="186" t="str">
        <f>IF(ISBLANK(O281),"",IFERROR(ROUND(O281*'Direct and Indirect Expenses'!$K$20,0),""))</f>
        <v/>
      </c>
      <c r="R281" s="309">
        <f>IFERROR(SUMIF('Direct and Indirect Expenses'!$B$14:$B$34,'Financial Summary &amp; Stats'!B281,'Direct and Indirect Expenses'!$H$14:$H$34)*N281/SUMIF('Financial Summary &amp; Stats'!$B:$B,'Financial Summary &amp; Stats'!B281,'Financial Summary &amp; Stats'!$N:$N),0)</f>
        <v>0</v>
      </c>
      <c r="S281" s="595"/>
      <c r="T281" s="202">
        <f>IFERROR(IF('Direct and Indirect Expenses'!$A$9="Other Indirect Allocation Method",(ROUND((N281+P281)/($N$8+$P$8)*'Direct and Indirect Expenses'!$C$9,0)),ROUND((N281+P281)*'Direct and Indirect Expenses'!$B$9,0)),0)</f>
        <v>0</v>
      </c>
      <c r="U281" s="202">
        <f t="shared" si="129"/>
        <v>0</v>
      </c>
      <c r="V281" s="293" t="str">
        <f t="shared" si="130"/>
        <v/>
      </c>
      <c r="Y281" s="128"/>
    </row>
    <row r="282" spans="1:25" ht="20.100000000000001" customHeight="1" x14ac:dyDescent="0.2">
      <c r="A282" s="116" t="s">
        <v>116</v>
      </c>
      <c r="B282" s="122" t="s">
        <v>85</v>
      </c>
      <c r="C282" s="122"/>
      <c r="D282" s="123" t="str">
        <f t="array" ref="D282">IFERROR(INDEX('Crosswalk '!$C$9:$C$94,MATCH(1,(B282='Crosswalk '!$B$9:$B$94)*(E282='Crosswalk '!$G$9:$G$94),0)),"")</f>
        <v/>
      </c>
      <c r="E282" s="291" t="str">
        <f t="array" ref="E282">IFERROR(INDEX('Crosswalk '!$E$106:$E$125,MATCH(1,($A$257='Crosswalk '!$D$106:$D$125)*($C282='Crosswalk '!$F$106:$F$125),0)),"")</f>
        <v/>
      </c>
      <c r="F282" s="485"/>
      <c r="G282" s="486"/>
      <c r="H282" s="159" t="str">
        <f t="array" ref="H282">IFERROR(INDEX('Crosswalk '!$E$9:$E$103,MATCH(1,($B282='Crosswalk '!$B$9:$B$103)*($E282='Crosswalk '!$G$9:$G$103),0)),"")</f>
        <v/>
      </c>
      <c r="I282" s="166"/>
      <c r="J282" s="126" t="str">
        <f t="shared" si="124"/>
        <v/>
      </c>
      <c r="K282" s="200">
        <f t="shared" si="125"/>
        <v>0</v>
      </c>
      <c r="L282" s="294">
        <f t="shared" si="128"/>
        <v>0</v>
      </c>
      <c r="M282" s="294">
        <f t="shared" si="126"/>
        <v>0</v>
      </c>
      <c r="N282" s="186">
        <f t="shared" si="127"/>
        <v>0</v>
      </c>
      <c r="O282" s="201" t="str">
        <f>IFERROR(ROUND(N282/'Direct Prof Sal &amp; Fringes  '!$L$8,8),"")</f>
        <v/>
      </c>
      <c r="P282" s="186" t="str">
        <f>IF(ISBLANK(O282),"",IFERROR(ROUND(O282*' Indirect Non-prof Sal &amp; Fringe'!$M$42,0),""))</f>
        <v/>
      </c>
      <c r="Q282" s="186" t="str">
        <f>IF(ISBLANK(O282),"",IFERROR(ROUND(O282*'Direct and Indirect Expenses'!$K$20,0),""))</f>
        <v/>
      </c>
      <c r="R282" s="309">
        <f>IFERROR(SUMIF('Direct and Indirect Expenses'!$B$14:$B$34,'Financial Summary &amp; Stats'!B282,'Direct and Indirect Expenses'!$H$14:$H$34)*N282/SUMIF('Financial Summary &amp; Stats'!$B:$B,'Financial Summary &amp; Stats'!B282,'Financial Summary &amp; Stats'!$N:$N),0)</f>
        <v>0</v>
      </c>
      <c r="S282" s="595"/>
      <c r="T282" s="202">
        <f>IFERROR(IF('Direct and Indirect Expenses'!$A$9="Other Indirect Allocation Method",(ROUND((N282+P282)/($N$8+$P$8)*'Direct and Indirect Expenses'!$C$9,0)),ROUND((N282+P282)*'Direct and Indirect Expenses'!$B$9,0)),0)</f>
        <v>0</v>
      </c>
      <c r="U282" s="202">
        <f t="shared" si="129"/>
        <v>0</v>
      </c>
      <c r="V282" s="293" t="str">
        <f t="shared" si="130"/>
        <v/>
      </c>
      <c r="Y282" s="128"/>
    </row>
    <row r="283" spans="1:25" ht="20.100000000000001" customHeight="1" x14ac:dyDescent="0.2">
      <c r="A283" s="116" t="s">
        <v>110</v>
      </c>
      <c r="B283" s="122" t="s">
        <v>73</v>
      </c>
      <c r="C283" s="122"/>
      <c r="D283" s="123" t="str">
        <f t="array" ref="D283">IFERROR(INDEX('Crosswalk '!$C$9:$C$94,MATCH(1,(B283='Crosswalk '!$B$9:$B$94)*(E283='Crosswalk '!$G$9:$G$94),0)),"")</f>
        <v/>
      </c>
      <c r="E283" s="291" t="str">
        <f t="array" ref="E283">IFERROR(INDEX('Crosswalk '!$E$106:$E$125,MATCH(1,($A$257='Crosswalk '!$D$106:$D$125)*($C283='Crosswalk '!$F$106:$F$125),0)),"")</f>
        <v/>
      </c>
      <c r="F283" s="485"/>
      <c r="G283" s="181"/>
      <c r="H283" s="159" t="str">
        <f t="array" ref="H283">IFERROR(INDEX('Crosswalk '!$E$9:$E$103,MATCH(1,($B283='Crosswalk '!$B$9:$B$103)*($E283='Crosswalk '!$G$9:$G$103),0)),"")</f>
        <v/>
      </c>
      <c r="I283" s="125">
        <f t="shared" ref="I283:I285" si="132">IFERROR(ROUND(F283*H283,2),0)</f>
        <v>0</v>
      </c>
      <c r="J283" s="126" t="str">
        <f t="shared" si="124"/>
        <v/>
      </c>
      <c r="K283" s="200">
        <f t="shared" si="125"/>
        <v>0</v>
      </c>
      <c r="L283" s="294">
        <f t="shared" si="128"/>
        <v>0</v>
      </c>
      <c r="M283" s="294">
        <f t="shared" si="126"/>
        <v>0</v>
      </c>
      <c r="N283" s="186">
        <f t="shared" si="127"/>
        <v>0</v>
      </c>
      <c r="O283" s="201" t="str">
        <f>IFERROR(ROUND(N283/'Direct Prof Sal &amp; Fringes  '!$L$8,8),"")</f>
        <v/>
      </c>
      <c r="P283" s="186" t="str">
        <f>IF(ISBLANK(O283),"",IFERROR(ROUND(O283*' Indirect Non-prof Sal &amp; Fringe'!$M$42,0),""))</f>
        <v/>
      </c>
      <c r="Q283" s="186" t="str">
        <f>IF(ISBLANK(O283),"",IFERROR(ROUND(O283*'Direct and Indirect Expenses'!$K$20,0),""))</f>
        <v/>
      </c>
      <c r="R283" s="309">
        <f>IFERROR(SUMIF('Direct and Indirect Expenses'!$B$14:$B$34,'Financial Summary &amp; Stats'!B283,'Direct and Indirect Expenses'!$H$14:$H$34)*N283/SUMIF('Financial Summary &amp; Stats'!$B:$B,'Financial Summary &amp; Stats'!B283,'Financial Summary &amp; Stats'!$N:$N),0)</f>
        <v>0</v>
      </c>
      <c r="S283" s="595"/>
      <c r="T283" s="202">
        <f>IFERROR(IF('Direct and Indirect Expenses'!$A$9="Other Indirect Allocation Method",(ROUND((N283+P283)/($N$8+$P$8)*'Direct and Indirect Expenses'!$C$9,0)),ROUND((N283+P283)*'Direct and Indirect Expenses'!$B$9,0)),0)</f>
        <v>0</v>
      </c>
      <c r="U283" s="202">
        <f t="shared" si="129"/>
        <v>0</v>
      </c>
      <c r="V283" s="293" t="str">
        <f t="shared" si="130"/>
        <v/>
      </c>
      <c r="Y283" s="128"/>
    </row>
    <row r="284" spans="1:25" ht="20.100000000000001" customHeight="1" x14ac:dyDescent="0.2">
      <c r="A284" s="116" t="s">
        <v>109</v>
      </c>
      <c r="B284" s="122">
        <v>99367</v>
      </c>
      <c r="C284" s="122"/>
      <c r="D284" s="123">
        <f t="array" ref="D284">IFERROR(INDEX('Crosswalk '!$C$9:$C$94,MATCH(1,(B284='Crosswalk '!$B$9:$B$94)*(E284='Crosswalk '!$G$9:$G$94),0)),"")</f>
        <v>0</v>
      </c>
      <c r="E284" s="159" t="s">
        <v>142</v>
      </c>
      <c r="F284" s="485"/>
      <c r="G284" s="181"/>
      <c r="H284" s="159">
        <f t="array" ref="H284">IFERROR(INDEX('Crosswalk '!$E$9:$E$103,MATCH(1,($B284='Crosswalk '!$B$9:$B$103)*($E284='Crosswalk '!$G$9:$G$103),0)),"")</f>
        <v>0.5</v>
      </c>
      <c r="I284" s="125">
        <f t="shared" si="132"/>
        <v>0</v>
      </c>
      <c r="J284" s="126">
        <f t="shared" si="124"/>
        <v>0</v>
      </c>
      <c r="K284" s="200">
        <f t="shared" si="125"/>
        <v>0</v>
      </c>
      <c r="L284" s="294">
        <f t="shared" si="128"/>
        <v>0</v>
      </c>
      <c r="M284" s="294">
        <f t="shared" si="126"/>
        <v>0</v>
      </c>
      <c r="N284" s="186">
        <f t="shared" si="127"/>
        <v>0</v>
      </c>
      <c r="O284" s="201" t="str">
        <f>IFERROR(ROUND(N284/'Direct Prof Sal &amp; Fringes  '!$L$8,8),"")</f>
        <v/>
      </c>
      <c r="P284" s="186" t="str">
        <f>IF(ISBLANK(O284),"",IFERROR(ROUND(O284*' Indirect Non-prof Sal &amp; Fringe'!$M$42,0),""))</f>
        <v/>
      </c>
      <c r="Q284" s="186" t="str">
        <f>IF(ISBLANK(O284),"",IFERROR(ROUND(O284*'Direct and Indirect Expenses'!$K$20,0),""))</f>
        <v/>
      </c>
      <c r="R284" s="309">
        <f>IFERROR(SUMIF('Direct and Indirect Expenses'!$B$14:$B$34,'Financial Summary &amp; Stats'!B284,'Direct and Indirect Expenses'!$H$14:$H$34)*N284/SUMIF('Financial Summary &amp; Stats'!$B:$B,'Financial Summary &amp; Stats'!B284,'Financial Summary &amp; Stats'!$N:$N),0)</f>
        <v>0</v>
      </c>
      <c r="S284" s="595"/>
      <c r="T284" s="202">
        <f>IFERROR(IF('Direct and Indirect Expenses'!$A$9="Other Indirect Allocation Method",(ROUND((N284+P284)/($N$8+$P$8)*'Direct and Indirect Expenses'!$C$9,0)),ROUND((N284+P284)*'Direct and Indirect Expenses'!$B$9,0)),0)</f>
        <v>0</v>
      </c>
      <c r="U284" s="202">
        <f t="shared" si="129"/>
        <v>0</v>
      </c>
      <c r="V284" s="293" t="str">
        <f t="shared" si="130"/>
        <v/>
      </c>
      <c r="Y284" s="128"/>
    </row>
    <row r="285" spans="1:25" ht="20.100000000000001" customHeight="1" x14ac:dyDescent="0.2">
      <c r="A285" s="116" t="s">
        <v>108</v>
      </c>
      <c r="B285" s="122">
        <v>99366</v>
      </c>
      <c r="C285" s="122"/>
      <c r="D285" s="123">
        <f t="array" ref="D285">IFERROR(INDEX('Crosswalk '!$C$9:$C$94,MATCH(1,(B285='Crosswalk '!$B$9:$B$94)*(E285='Crosswalk '!$G$9:$G$94),0)),"")</f>
        <v>0</v>
      </c>
      <c r="E285" s="159" t="s">
        <v>142</v>
      </c>
      <c r="F285" s="485"/>
      <c r="G285" s="181"/>
      <c r="H285" s="159">
        <f t="array" ref="H285">IFERROR(INDEX('Crosswalk '!$E$9:$E$103,MATCH(1,($B285='Crosswalk '!$B$9:$B$103)*($E285='Crosswalk '!$G$9:$G$103),0)),"")</f>
        <v>0.5</v>
      </c>
      <c r="I285" s="125">
        <f t="shared" si="132"/>
        <v>0</v>
      </c>
      <c r="J285" s="126">
        <f t="shared" si="124"/>
        <v>0</v>
      </c>
      <c r="K285" s="200">
        <f t="shared" si="125"/>
        <v>0</v>
      </c>
      <c r="L285" s="294">
        <f t="shared" si="128"/>
        <v>0</v>
      </c>
      <c r="M285" s="294">
        <f t="shared" si="126"/>
        <v>0</v>
      </c>
      <c r="N285" s="186">
        <f t="shared" si="127"/>
        <v>0</v>
      </c>
      <c r="O285" s="201" t="str">
        <f>IFERROR(ROUND(N285/'Direct Prof Sal &amp; Fringes  '!$L$8,8),"")</f>
        <v/>
      </c>
      <c r="P285" s="186" t="str">
        <f>IF(ISBLANK(O285),"",IFERROR(ROUND(O285*' Indirect Non-prof Sal &amp; Fringe'!$M$42,0),""))</f>
        <v/>
      </c>
      <c r="Q285" s="186" t="str">
        <f>IF(ISBLANK(O285),"",IFERROR(ROUND(O285*'Direct and Indirect Expenses'!$K$20,0),""))</f>
        <v/>
      </c>
      <c r="R285" s="309">
        <f>IFERROR(SUMIF('Direct and Indirect Expenses'!$B$14:$B$34,'Financial Summary &amp; Stats'!B285,'Direct and Indirect Expenses'!$H$14:$H$34)*N285/SUMIF('Financial Summary &amp; Stats'!$B:$B,'Financial Summary &amp; Stats'!B285,'Financial Summary &amp; Stats'!$N:$N),0)</f>
        <v>0</v>
      </c>
      <c r="S285" s="595"/>
      <c r="T285" s="202">
        <f>IFERROR(IF('Direct and Indirect Expenses'!$A$9="Other Indirect Allocation Method",(ROUND((N285+P285)/($N$8+$P$8)*'Direct and Indirect Expenses'!$C$9,0)),ROUND((N285+P285)*'Direct and Indirect Expenses'!$B$9,0)),0)</f>
        <v>0</v>
      </c>
      <c r="U285" s="202">
        <f t="shared" si="129"/>
        <v>0</v>
      </c>
      <c r="V285" s="293" t="str">
        <f t="shared" si="130"/>
        <v/>
      </c>
      <c r="Y285" s="128"/>
    </row>
    <row r="286" spans="1:25" ht="20.100000000000001" customHeight="1" x14ac:dyDescent="0.2">
      <c r="A286" s="171"/>
      <c r="B286" s="172"/>
      <c r="C286" s="172"/>
      <c r="D286" s="173"/>
      <c r="E286" s="173"/>
      <c r="F286" s="174"/>
      <c r="G286" s="179"/>
      <c r="H286" s="175"/>
      <c r="I286" s="176"/>
      <c r="J286" s="176"/>
      <c r="K286" s="178"/>
      <c r="L286" s="296"/>
      <c r="M286" s="296"/>
      <c r="N286" s="302"/>
      <c r="O286" s="177"/>
      <c r="P286" s="177"/>
      <c r="Q286" s="177"/>
      <c r="R286" s="302"/>
      <c r="S286" s="302"/>
      <c r="T286" s="193"/>
      <c r="U286" s="193"/>
      <c r="V286" s="191"/>
      <c r="Y286" s="128"/>
    </row>
    <row r="287" spans="1:25" ht="20.100000000000001" customHeight="1" x14ac:dyDescent="0.2">
      <c r="A287" s="171"/>
      <c r="B287" s="172"/>
      <c r="C287" s="172"/>
      <c r="D287" s="173"/>
      <c r="E287" s="173"/>
      <c r="F287" s="174"/>
      <c r="G287" s="179"/>
      <c r="H287" s="175"/>
      <c r="I287" s="176"/>
      <c r="J287" s="176"/>
      <c r="K287" s="178"/>
      <c r="L287" s="296"/>
      <c r="M287" s="296"/>
      <c r="N287" s="302"/>
      <c r="O287" s="177"/>
      <c r="P287" s="177"/>
      <c r="Q287" s="177"/>
      <c r="R287" s="302"/>
      <c r="S287" s="302"/>
      <c r="T287" s="193"/>
      <c r="U287" s="193"/>
      <c r="V287" s="191"/>
      <c r="Y287" s="128"/>
    </row>
    <row r="288" spans="1:25" ht="20.100000000000001" customHeight="1" x14ac:dyDescent="0.25">
      <c r="A288" s="289" t="s">
        <v>101</v>
      </c>
      <c r="B288" s="122"/>
      <c r="C288" s="122"/>
      <c r="D288" s="123"/>
      <c r="E288" s="123"/>
      <c r="F288" s="130"/>
      <c r="G288" s="180"/>
      <c r="H288" s="159"/>
      <c r="I288" s="125"/>
      <c r="J288" s="126"/>
      <c r="K288" s="127"/>
      <c r="L288" s="295"/>
      <c r="M288" s="295"/>
      <c r="N288" s="186"/>
      <c r="O288" s="121"/>
      <c r="P288" s="121"/>
      <c r="Q288" s="186"/>
      <c r="R288" s="186"/>
      <c r="S288" s="186"/>
      <c r="T288" s="186"/>
      <c r="U288" s="186"/>
      <c r="V288" s="293"/>
      <c r="Y288" s="128"/>
    </row>
    <row r="289" spans="1:25" ht="20.100000000000001" customHeight="1" x14ac:dyDescent="0.2">
      <c r="A289" s="129" t="s">
        <v>117</v>
      </c>
      <c r="B289" s="131">
        <v>96101</v>
      </c>
      <c r="C289" s="131"/>
      <c r="D289" s="123" t="str">
        <f t="array" ref="D289">IFERROR(INDEX('Crosswalk '!$C$9:$C$94,MATCH(1,(B289='Crosswalk '!$B$9:$B$94)*(E289='Crosswalk '!$G$9:$G$94),0)),"")</f>
        <v/>
      </c>
      <c r="E289" s="291" t="str">
        <f t="array" ref="E289">IFERROR(INDEX('Crosswalk '!$E$106:$E$125,MATCH(1,($A$257='Crosswalk '!$D$106:$D$125)*($C289='Crosswalk '!$F$106:$F$125),0)),"")</f>
        <v/>
      </c>
      <c r="F289" s="485"/>
      <c r="G289" s="181"/>
      <c r="H289" s="159" t="str">
        <f t="array" ref="H289">IFERROR(INDEX('Crosswalk '!$E$9:$E$103,MATCH(1,($B289='Crosswalk '!$B$9:$B$103)*($E289='Crosswalk '!$G$9:$G$103),0)),"")</f>
        <v/>
      </c>
      <c r="I289" s="125">
        <f t="shared" ref="I289:I291" si="133">IFERROR(ROUND(F289*H289,2),0)</f>
        <v>0</v>
      </c>
      <c r="J289" s="126" t="str">
        <f t="shared" ref="J289:J291" si="134">IF(ISTEXT(H289),"",IFERROR(ROUND(I289+G289,2),""))</f>
        <v/>
      </c>
      <c r="K289" s="200">
        <f t="shared" ref="K289:K291" si="135">IF(ISERROR(J289/$J$296),0,ROUND(J289/$J$296,8))</f>
        <v>0</v>
      </c>
      <c r="L289" s="294">
        <f t="shared" ref="L289:L291" si="136">ROUND(K289*$B$259,0)</f>
        <v>0</v>
      </c>
      <c r="M289" s="294">
        <f t="shared" ref="M289:M291" si="137">IFERROR(ROUND(L289/$L$296*$M$296,0),0)</f>
        <v>0</v>
      </c>
      <c r="N289" s="186">
        <f t="shared" ref="N289:N291" si="138">ROUND(L289+M289,0)</f>
        <v>0</v>
      </c>
      <c r="O289" s="201" t="str">
        <f>IFERROR(ROUND(N289/'Direct Prof Sal &amp; Fringes  '!$L$8,8),"")</f>
        <v/>
      </c>
      <c r="P289" s="186" t="str">
        <f>IF(ISBLANK(O289),"",IFERROR(ROUND(O289*' Indirect Non-prof Sal &amp; Fringe'!$M$42,0),""))</f>
        <v/>
      </c>
      <c r="Q289" s="186" t="str">
        <f>IF(ISBLANK(O289),"",IFERROR(ROUND(O289*'Direct and Indirect Expenses'!$K$20,0),""))</f>
        <v/>
      </c>
      <c r="R289" s="309">
        <f>IFERROR(SUMIF('Direct and Indirect Expenses'!$B$14:$B$34,'Financial Summary &amp; Stats'!B289,'Direct and Indirect Expenses'!$H$14:$H$34)*N289/SUMIF('Financial Summary &amp; Stats'!$B:$B,'Financial Summary &amp; Stats'!B289,'Financial Summary &amp; Stats'!$N:$N),0)</f>
        <v>0</v>
      </c>
      <c r="S289" s="595"/>
      <c r="T289" s="202">
        <f>IFERROR(IF('Direct and Indirect Expenses'!$A$9="Other Indirect Allocation Method",(ROUND((N289+P289)/($N$8+$P$8)*'Direct and Indirect Expenses'!$C$9,0)),ROUND((N289+P289)*'Direct and Indirect Expenses'!$B$9,0)),0)</f>
        <v>0</v>
      </c>
      <c r="U289" s="202">
        <f t="shared" ref="U289:U291" si="139">IFERROR(ROUND((T289+R289+Q289+P289+N289),0),0)</f>
        <v>0</v>
      </c>
      <c r="V289" s="293" t="str">
        <f>IFERROR(ROUND(U289/F289,2),"")</f>
        <v/>
      </c>
      <c r="Y289" s="128"/>
    </row>
    <row r="290" spans="1:25" ht="20.100000000000001" customHeight="1" x14ac:dyDescent="0.2">
      <c r="A290" s="129" t="s">
        <v>122</v>
      </c>
      <c r="B290" s="132" t="s">
        <v>120</v>
      </c>
      <c r="C290" s="132"/>
      <c r="D290" s="123" t="str">
        <f t="array" ref="D290">IFERROR(INDEX('Crosswalk '!$C$9:$C$94,MATCH(1,(B290='Crosswalk '!$B$9:$B$94)*(E290='Crosswalk '!$G$9:$G$94),0)),"")</f>
        <v/>
      </c>
      <c r="E290" s="123"/>
      <c r="F290" s="485"/>
      <c r="G290" s="181"/>
      <c r="H290" s="159">
        <f t="array" ref="H290">IFERROR(INDEX('Crosswalk '!$E$9:$E$103,MATCH(1,($B290='Crosswalk '!$B$9:$B$103)*($E290='Crosswalk '!$G$9:$G$103),0)),"")</f>
        <v>0.25</v>
      </c>
      <c r="I290" s="125">
        <f t="shared" si="133"/>
        <v>0</v>
      </c>
      <c r="J290" s="126">
        <f t="shared" si="134"/>
        <v>0</v>
      </c>
      <c r="K290" s="200">
        <f t="shared" si="135"/>
        <v>0</v>
      </c>
      <c r="L290" s="294">
        <f t="shared" si="136"/>
        <v>0</v>
      </c>
      <c r="M290" s="294">
        <f t="shared" si="137"/>
        <v>0</v>
      </c>
      <c r="N290" s="186">
        <f t="shared" si="138"/>
        <v>0</v>
      </c>
      <c r="O290" s="201" t="str">
        <f>IFERROR(ROUND(N290/'Direct Prof Sal &amp; Fringes  '!$L$8,8),"")</f>
        <v/>
      </c>
      <c r="P290" s="186" t="str">
        <f>IF(ISBLANK(O290),"",IFERROR(ROUND(O290*' Indirect Non-prof Sal &amp; Fringe'!$M$42,0),""))</f>
        <v/>
      </c>
      <c r="Q290" s="186" t="str">
        <f>IF(ISBLANK(O290),"",IFERROR(ROUND(O290*'Direct and Indirect Expenses'!$K$20,0),""))</f>
        <v/>
      </c>
      <c r="R290" s="309">
        <f>IFERROR(SUMIF('Direct and Indirect Expenses'!$B$14:$B$34,'Financial Summary &amp; Stats'!B290,'Direct and Indirect Expenses'!$H$14:$H$34)*N290/SUMIF('Financial Summary &amp; Stats'!$B:$B,'Financial Summary &amp; Stats'!B290,'Financial Summary &amp; Stats'!$N:$N),0)</f>
        <v>0</v>
      </c>
      <c r="S290" s="595"/>
      <c r="T290" s="202">
        <f>IFERROR(IF('Direct and Indirect Expenses'!$A$9="Other Indirect Allocation Method",(ROUND((N290+P290)/($N$8+$P$8)*'Direct and Indirect Expenses'!$C$9,0)),ROUND((N290+P290)*'Direct and Indirect Expenses'!$B$9,0)),0)</f>
        <v>0</v>
      </c>
      <c r="U290" s="202">
        <f t="shared" si="139"/>
        <v>0</v>
      </c>
      <c r="V290" s="293" t="str">
        <f t="shared" ref="V290:V291" si="140">IFERROR(ROUND(U290/F290,2),"")</f>
        <v/>
      </c>
      <c r="Y290" s="128"/>
    </row>
    <row r="291" spans="1:25" ht="20.100000000000001" customHeight="1" x14ac:dyDescent="0.2">
      <c r="A291" s="129" t="s">
        <v>123</v>
      </c>
      <c r="B291" s="132" t="s">
        <v>121</v>
      </c>
      <c r="C291" s="132"/>
      <c r="D291" s="123" t="str">
        <f t="array" ref="D291">IFERROR(INDEX('Crosswalk '!$C$9:$C$94,MATCH(1,(B291='Crosswalk '!$B$9:$B$94)*(E291='Crosswalk '!$G$9:$G$94),0)),"")</f>
        <v/>
      </c>
      <c r="E291" s="123"/>
      <c r="F291" s="485"/>
      <c r="G291" s="181"/>
      <c r="H291" s="159">
        <f t="array" ref="H291">IFERROR(INDEX('Crosswalk '!$E$9:$E$103,MATCH(1,($B291='Crosswalk '!$B$9:$B$103)*($E291='Crosswalk '!$G$9:$G$103),0)),"")</f>
        <v>0.25</v>
      </c>
      <c r="I291" s="125">
        <f t="shared" si="133"/>
        <v>0</v>
      </c>
      <c r="J291" s="126">
        <f t="shared" si="134"/>
        <v>0</v>
      </c>
      <c r="K291" s="200">
        <f t="shared" si="135"/>
        <v>0</v>
      </c>
      <c r="L291" s="294">
        <f t="shared" si="136"/>
        <v>0</v>
      </c>
      <c r="M291" s="294">
        <f t="shared" si="137"/>
        <v>0</v>
      </c>
      <c r="N291" s="186">
        <f t="shared" si="138"/>
        <v>0</v>
      </c>
      <c r="O291" s="201" t="str">
        <f>IFERROR(ROUND(N291/'Direct Prof Sal &amp; Fringes  '!$L$8,8),"")</f>
        <v/>
      </c>
      <c r="P291" s="186" t="str">
        <f>IF(ISBLANK(O291),"",IFERROR(ROUND(O291*' Indirect Non-prof Sal &amp; Fringe'!$M$42,0),""))</f>
        <v/>
      </c>
      <c r="Q291" s="186" t="str">
        <f>IF(ISBLANK(O291),"",IFERROR(ROUND(O291*'Direct and Indirect Expenses'!$K$20,0),""))</f>
        <v/>
      </c>
      <c r="R291" s="309">
        <f>IFERROR(SUMIF('Direct and Indirect Expenses'!$B$14:$B$34,'Financial Summary &amp; Stats'!B291,'Direct and Indirect Expenses'!$H$14:$H$34)*N291/SUMIF('Financial Summary &amp; Stats'!$B:$B,'Financial Summary &amp; Stats'!B291,'Financial Summary &amp; Stats'!$N:$N),0)</f>
        <v>0</v>
      </c>
      <c r="S291" s="595"/>
      <c r="T291" s="202">
        <f>IFERROR(IF('Direct and Indirect Expenses'!$A$9="Other Indirect Allocation Method",(ROUND((N291+P291)/($N$8+$P$8)*'Direct and Indirect Expenses'!$C$9,0)),ROUND((N291+P291)*'Direct and Indirect Expenses'!$B$9,0)),0)</f>
        <v>0</v>
      </c>
      <c r="U291" s="202">
        <f t="shared" si="139"/>
        <v>0</v>
      </c>
      <c r="V291" s="293" t="str">
        <f t="shared" si="140"/>
        <v/>
      </c>
      <c r="Y291" s="128"/>
    </row>
    <row r="292" spans="1:25" ht="20.100000000000001" customHeight="1" x14ac:dyDescent="0.2">
      <c r="A292" s="161"/>
      <c r="B292" s="162"/>
      <c r="C292" s="162"/>
      <c r="D292" s="163"/>
      <c r="E292" s="163"/>
      <c r="F292" s="164"/>
      <c r="G292" s="181"/>
      <c r="H292" s="165"/>
      <c r="I292" s="166"/>
      <c r="J292" s="167"/>
      <c r="K292" s="169"/>
      <c r="L292" s="297"/>
      <c r="M292" s="297"/>
      <c r="N292" s="193"/>
      <c r="O292" s="168"/>
      <c r="P292" s="168"/>
      <c r="Q292" s="168"/>
      <c r="R292" s="193"/>
      <c r="S292" s="193"/>
      <c r="T292" s="193"/>
      <c r="U292" s="193"/>
      <c r="V292" s="191"/>
      <c r="Y292" s="128"/>
    </row>
    <row r="293" spans="1:25" ht="20.100000000000001" customHeight="1" x14ac:dyDescent="0.2">
      <c r="A293" s="161"/>
      <c r="B293" s="170"/>
      <c r="C293" s="170"/>
      <c r="D293" s="163"/>
      <c r="E293" s="163"/>
      <c r="F293" s="164"/>
      <c r="G293" s="181"/>
      <c r="H293" s="165"/>
      <c r="I293" s="166"/>
      <c r="J293" s="167"/>
      <c r="K293" s="169"/>
      <c r="L293" s="297"/>
      <c r="M293" s="297"/>
      <c r="N293" s="303"/>
      <c r="O293" s="168"/>
      <c r="P293" s="168"/>
      <c r="Q293" s="168"/>
      <c r="R293" s="193"/>
      <c r="S293" s="193"/>
      <c r="T293" s="193"/>
      <c r="U293" s="193"/>
      <c r="V293" s="191"/>
      <c r="Y293" s="128"/>
    </row>
    <row r="294" spans="1:25" ht="20.100000000000001" customHeight="1" x14ac:dyDescent="0.2">
      <c r="A294" s="129" t="s">
        <v>31</v>
      </c>
      <c r="B294" s="133"/>
      <c r="C294" s="133"/>
      <c r="D294" s="123"/>
      <c r="E294" s="123"/>
      <c r="F294" s="130"/>
      <c r="G294" s="180"/>
      <c r="H294" s="124"/>
      <c r="I294" s="120"/>
      <c r="J294" s="183">
        <f>B258-ROUND(SUM(J263:J285)+SUM(J289:J291),2)</f>
        <v>0</v>
      </c>
      <c r="K294" s="127">
        <f>IF(ISERROR(J294/$J$296),0,ROUND(J294/$J$296,8))</f>
        <v>0</v>
      </c>
      <c r="L294" s="297"/>
      <c r="M294" s="297"/>
      <c r="N294" s="303"/>
      <c r="O294" s="168"/>
      <c r="P294" s="168"/>
      <c r="Q294" s="168"/>
      <c r="R294" s="193"/>
      <c r="S294" s="193"/>
      <c r="T294" s="193"/>
      <c r="U294" s="193"/>
      <c r="V294" s="191"/>
      <c r="Y294" s="128"/>
    </row>
    <row r="295" spans="1:25" ht="20.100000000000001" customHeight="1" x14ac:dyDescent="0.2">
      <c r="A295" s="129"/>
      <c r="B295" s="133"/>
      <c r="C295" s="133"/>
      <c r="D295" s="123"/>
      <c r="E295" s="123"/>
      <c r="F295" s="130"/>
      <c r="G295" s="180"/>
      <c r="H295" s="124"/>
      <c r="I295" s="125"/>
      <c r="J295" s="126"/>
      <c r="K295" s="127"/>
      <c r="L295" s="297"/>
      <c r="M295" s="297"/>
      <c r="N295" s="303"/>
      <c r="O295" s="168"/>
      <c r="P295" s="168"/>
      <c r="Q295" s="168"/>
      <c r="R295" s="193"/>
      <c r="S295" s="193"/>
      <c r="T295" s="193"/>
      <c r="U295" s="193"/>
      <c r="V295" s="191"/>
      <c r="Y295" s="128"/>
    </row>
    <row r="296" spans="1:25" ht="20.100000000000001" customHeight="1" x14ac:dyDescent="0.2">
      <c r="A296" s="129" t="s">
        <v>38</v>
      </c>
      <c r="B296" s="133"/>
      <c r="C296" s="133"/>
      <c r="D296" s="123"/>
      <c r="E296" s="123"/>
      <c r="F296" s="134">
        <f>SUM(F263:F295)</f>
        <v>0</v>
      </c>
      <c r="G296" s="182">
        <f>ROUND(SUM(G263:G295),2)</f>
        <v>0</v>
      </c>
      <c r="H296" s="119"/>
      <c r="I296" s="125">
        <f>ROUND(SUM(I263:I295),2)</f>
        <v>0</v>
      </c>
      <c r="J296" s="126">
        <f>IFERROR(SUM(J263:J294),"")</f>
        <v>0</v>
      </c>
      <c r="K296" s="121">
        <f>ROUND(SUM(K263:K295),4)</f>
        <v>0</v>
      </c>
      <c r="L296" s="298">
        <f>ROUND(SUM(L263:L295),0)</f>
        <v>0</v>
      </c>
      <c r="M296" s="295">
        <f>ROUND(K294*$B$259,0)</f>
        <v>0</v>
      </c>
      <c r="N296" s="194">
        <f>ROUND(SUM(N263:N295),0)</f>
        <v>0</v>
      </c>
      <c r="O296" s="201" t="str">
        <f t="shared" ref="O296" si="141">IFERROR(ROUND(N296/$N$8,4),"")</f>
        <v/>
      </c>
      <c r="P296" s="135">
        <f t="shared" ref="P296:U296" si="142">ROUND(SUM(P263:P295),0)</f>
        <v>0</v>
      </c>
      <c r="Q296" s="135">
        <f t="shared" si="142"/>
        <v>0</v>
      </c>
      <c r="R296" s="194">
        <f t="shared" si="142"/>
        <v>0</v>
      </c>
      <c r="S296" s="194">
        <f t="shared" si="142"/>
        <v>0</v>
      </c>
      <c r="T296" s="194">
        <f t="shared" si="142"/>
        <v>0</v>
      </c>
      <c r="U296" s="194">
        <f t="shared" si="142"/>
        <v>0</v>
      </c>
      <c r="V296" s="190" t="str">
        <f>IFERROR(AVERAGE(V263:V285,V288:V291),"")</f>
        <v/>
      </c>
    </row>
    <row r="297" spans="1:25" ht="20.100000000000001" customHeight="1" thickBot="1" x14ac:dyDescent="0.3">
      <c r="A297" s="152"/>
      <c r="B297" s="153"/>
      <c r="C297" s="153"/>
      <c r="D297" s="154"/>
      <c r="E297" s="153"/>
      <c r="F297" s="153"/>
      <c r="G297" s="154"/>
      <c r="H297" s="156"/>
      <c r="I297" s="155"/>
      <c r="J297" s="153"/>
      <c r="K297" s="156"/>
      <c r="L297" s="301"/>
      <c r="M297" s="306"/>
      <c r="N297" s="307"/>
    </row>
    <row r="298" spans="1:25" ht="28.5" customHeight="1" x14ac:dyDescent="0.3">
      <c r="A298" s="669" t="str">
        <f>IF(ISBLANK('Direct Prof Sal &amp; Fringes  '!B277),"",+'Direct Prof Sal &amp; Fringes  '!B277)</f>
        <v/>
      </c>
      <c r="B298" s="670"/>
      <c r="C298" s="670"/>
      <c r="D298" s="670"/>
      <c r="E298" s="670"/>
      <c r="F298" s="670"/>
      <c r="G298" s="670"/>
      <c r="H298" s="670"/>
      <c r="I298" s="670"/>
      <c r="J298" s="670"/>
      <c r="K298" s="670"/>
      <c r="L298" s="670"/>
      <c r="M298" s="670"/>
      <c r="N298" s="670"/>
      <c r="O298" s="671"/>
      <c r="P298" s="671"/>
      <c r="Q298" s="671"/>
      <c r="R298" s="671"/>
      <c r="S298" s="671"/>
      <c r="T298" s="671"/>
      <c r="U298" s="671"/>
      <c r="V298" s="672"/>
    </row>
    <row r="299" spans="1:25" ht="20.100000000000001" customHeight="1" x14ac:dyDescent="0.25">
      <c r="A299" s="429" t="s">
        <v>18</v>
      </c>
      <c r="B299" s="461">
        <f>+'Direct Prof Sal &amp; Fringes  '!G311</f>
        <v>0</v>
      </c>
      <c r="C299" s="461"/>
      <c r="D299" s="431"/>
      <c r="E299" s="432"/>
      <c r="F299" s="432"/>
      <c r="G299" s="431"/>
      <c r="H299" s="433"/>
      <c r="I299" s="434"/>
      <c r="J299" s="432"/>
      <c r="K299" s="433"/>
      <c r="L299" s="435"/>
      <c r="M299" s="436"/>
      <c r="N299" s="436"/>
      <c r="O299" s="457"/>
      <c r="P299" s="457"/>
      <c r="Q299" s="457"/>
      <c r="R299" s="438"/>
      <c r="S299" s="438"/>
      <c r="T299" s="438"/>
      <c r="U299" s="439"/>
      <c r="V299" s="440"/>
    </row>
    <row r="300" spans="1:25" ht="20.100000000000001" customHeight="1" x14ac:dyDescent="0.25">
      <c r="A300" s="429" t="s">
        <v>163</v>
      </c>
      <c r="B300" s="462">
        <f>+'Direct Prof Sal &amp; Fringes  '!L311</f>
        <v>0</v>
      </c>
      <c r="C300" s="462"/>
      <c r="D300" s="431"/>
      <c r="E300" s="432"/>
      <c r="F300" s="432"/>
      <c r="G300" s="431"/>
      <c r="H300" s="433"/>
      <c r="I300" s="434"/>
      <c r="J300" s="432"/>
      <c r="K300" s="433"/>
      <c r="L300" s="435"/>
      <c r="M300" s="436"/>
      <c r="N300" s="436"/>
      <c r="O300" s="457"/>
      <c r="P300" s="457"/>
      <c r="Q300" s="457"/>
      <c r="R300" s="442"/>
      <c r="S300" s="442"/>
      <c r="T300" s="442"/>
      <c r="U300" s="442"/>
      <c r="V300" s="443"/>
    </row>
    <row r="301" spans="1:25" ht="20.100000000000001" customHeight="1" thickBot="1" x14ac:dyDescent="0.3">
      <c r="A301" s="444" t="s">
        <v>222</v>
      </c>
      <c r="B301" s="445">
        <f>IFERROR((ROUND((SUM($J$304:$J$332))/B299,8)),0)</f>
        <v>0</v>
      </c>
      <c r="C301" s="447"/>
      <c r="D301" s="448"/>
      <c r="E301" s="447"/>
      <c r="F301" s="447"/>
      <c r="G301" s="448"/>
      <c r="H301" s="449"/>
      <c r="I301" s="450"/>
      <c r="J301" s="447"/>
      <c r="K301" s="449"/>
      <c r="L301" s="451"/>
      <c r="M301" s="452"/>
      <c r="N301" s="452"/>
      <c r="O301" s="458"/>
      <c r="P301" s="458"/>
      <c r="Q301" s="458"/>
      <c r="R301" s="454"/>
      <c r="S301" s="454"/>
      <c r="T301" s="454"/>
      <c r="U301" s="454"/>
      <c r="V301" s="455"/>
    </row>
    <row r="302" spans="1:25" ht="19.5" customHeight="1" thickBot="1" x14ac:dyDescent="0.3">
      <c r="A302" s="428" t="s">
        <v>49</v>
      </c>
      <c r="B302" s="428" t="s">
        <v>50</v>
      </c>
      <c r="C302" s="428" t="s">
        <v>51</v>
      </c>
      <c r="D302" s="428" t="s">
        <v>52</v>
      </c>
      <c r="E302" s="428" t="s">
        <v>53</v>
      </c>
      <c r="F302" s="428" t="s">
        <v>54</v>
      </c>
      <c r="G302" s="428" t="s">
        <v>55</v>
      </c>
      <c r="H302" s="428" t="s">
        <v>56</v>
      </c>
      <c r="I302" s="428" t="s">
        <v>57</v>
      </c>
      <c r="J302" s="428" t="s">
        <v>58</v>
      </c>
      <c r="K302" s="428" t="s">
        <v>59</v>
      </c>
      <c r="L302" s="428" t="s">
        <v>223</v>
      </c>
      <c r="M302" s="428" t="s">
        <v>224</v>
      </c>
      <c r="N302" s="428" t="s">
        <v>225</v>
      </c>
      <c r="O302" s="428" t="s">
        <v>226</v>
      </c>
      <c r="P302" s="428" t="s">
        <v>227</v>
      </c>
      <c r="Q302" s="428" t="s">
        <v>228</v>
      </c>
      <c r="R302" s="428" t="s">
        <v>229</v>
      </c>
      <c r="S302" s="428" t="s">
        <v>230</v>
      </c>
      <c r="T302" s="428" t="s">
        <v>231</v>
      </c>
      <c r="U302" s="428" t="s">
        <v>232</v>
      </c>
      <c r="V302" s="428" t="s">
        <v>242</v>
      </c>
    </row>
    <row r="303" spans="1:25" ht="91.5" customHeight="1" thickBot="1" x14ac:dyDescent="0.3">
      <c r="A303" s="346" t="s">
        <v>244</v>
      </c>
      <c r="B303" s="347" t="s">
        <v>42</v>
      </c>
      <c r="C303" s="347" t="s">
        <v>198</v>
      </c>
      <c r="D303" s="348" t="s">
        <v>62</v>
      </c>
      <c r="E303" s="348" t="s">
        <v>98</v>
      </c>
      <c r="F303" s="536" t="s">
        <v>260</v>
      </c>
      <c r="G303" s="349" t="s">
        <v>199</v>
      </c>
      <c r="H303" s="350" t="s">
        <v>19</v>
      </c>
      <c r="I303" s="347" t="s">
        <v>256</v>
      </c>
      <c r="J303" s="347" t="s">
        <v>41</v>
      </c>
      <c r="K303" s="351" t="s">
        <v>30</v>
      </c>
      <c r="L303" s="352" t="s">
        <v>173</v>
      </c>
      <c r="M303" s="352" t="s">
        <v>177</v>
      </c>
      <c r="N303" s="352" t="s">
        <v>176</v>
      </c>
      <c r="O303" s="351" t="s">
        <v>172</v>
      </c>
      <c r="P303" s="353" t="s">
        <v>178</v>
      </c>
      <c r="Q303" s="351" t="s">
        <v>204</v>
      </c>
      <c r="R303" s="352" t="s">
        <v>203</v>
      </c>
      <c r="S303" s="352" t="s">
        <v>243</v>
      </c>
      <c r="T303" s="597" t="str">
        <f>IF(ISBLANK(+'Direct and Indirect Expenses'!$A$9),"Indirect Cost Method",+'Direct and Indirect Expenses'!$A$9)</f>
        <v>Indirect Cost Method</v>
      </c>
      <c r="U303" s="354" t="s">
        <v>23</v>
      </c>
      <c r="V303" s="355" t="s">
        <v>44</v>
      </c>
    </row>
    <row r="304" spans="1:25" ht="20.100000000000001" customHeight="1" x14ac:dyDescent="0.2">
      <c r="A304" s="290" t="s">
        <v>75</v>
      </c>
      <c r="B304" s="283" t="s">
        <v>77</v>
      </c>
      <c r="C304" s="283"/>
      <c r="D304" s="198" t="str">
        <f t="array" ref="D304">IFERROR(INDEX('Crosswalk '!$C$9:$C$94,MATCH(1,($B304='Crosswalk '!$B$9:$B$94)*($E304='Crosswalk '!$G$9:$G$94),0)),"")</f>
        <v/>
      </c>
      <c r="E304" s="291" t="str">
        <f t="array" ref="E304">IFERROR(INDEX('Crosswalk '!$E$106:$E$125,MATCH(1,($A$298='Crosswalk '!$D$106:$D$125)*($C304='Crosswalk '!$F$106:$F$125),0)),"")</f>
        <v/>
      </c>
      <c r="F304" s="484"/>
      <c r="G304" s="292"/>
      <c r="H304" s="159" t="str">
        <f t="array" ref="H304">IFERROR(INDEX('Crosswalk '!$E$9:$E$103,MATCH(1,($B304='Crosswalk '!$B$9:$B$103)*($E304='Crosswalk '!$G$9:$G$103),0)),"")</f>
        <v/>
      </c>
      <c r="I304" s="199">
        <f t="shared" ref="I304:I311" si="143">IFERROR(ROUND(F304*H304,2),0)</f>
        <v>0</v>
      </c>
      <c r="J304" s="126" t="str">
        <f t="shared" ref="J304:J326" si="144">IF(ISTEXT(H304),"",IFERROR(ROUND(I304+G304,2),""))</f>
        <v/>
      </c>
      <c r="K304" s="200">
        <f t="shared" ref="K304:K326" si="145">IF(ISERROR(J304/$J$337),0,ROUND(J304/$J$337,8))</f>
        <v>0</v>
      </c>
      <c r="L304" s="294">
        <f>ROUND(K304*$B$300,0)</f>
        <v>0</v>
      </c>
      <c r="M304" s="294">
        <f t="shared" ref="M304:M326" si="146">IFERROR(ROUND(L304/$L$337*$M$337,0),0)</f>
        <v>0</v>
      </c>
      <c r="N304" s="202">
        <f t="shared" ref="N304:N326" si="147">ROUND(L304+M304,0)</f>
        <v>0</v>
      </c>
      <c r="O304" s="201" t="str">
        <f>IFERROR(ROUND(N304/'Direct Prof Sal &amp; Fringes  '!$L$8,8),"")</f>
        <v/>
      </c>
      <c r="P304" s="202" t="str">
        <f>IF(ISBLANK(O304),"",IFERROR(ROUND(O304*' Indirect Non-prof Sal &amp; Fringe'!$M$42,0),""))</f>
        <v/>
      </c>
      <c r="Q304" s="202" t="str">
        <f>IF(ISBLANK(O304),"",IFERROR(ROUND(O304*'Direct and Indirect Expenses'!$K$20,0),""))</f>
        <v/>
      </c>
      <c r="R304" s="308">
        <f>IFERROR(SUMIF('Direct and Indirect Expenses'!$B$14:$B$34,'Financial Summary &amp; Stats'!B304,'Direct and Indirect Expenses'!$H$14:$H$34)*N304/SUMIF('Financial Summary &amp; Stats'!$B:$B,'Financial Summary &amp; Stats'!B304,'Financial Summary &amp; Stats'!$N:$N),0)</f>
        <v>0</v>
      </c>
      <c r="S304" s="595"/>
      <c r="T304" s="202">
        <f>IFERROR(IF('Direct and Indirect Expenses'!$A$9="Other Indirect Allocation Method",(ROUND((N304+P304)/($N$8+$P$8)*'Direct and Indirect Expenses'!$C$9,0)),ROUND((N304+P304)*'Direct and Indirect Expenses'!$B$9,0)),0)</f>
        <v>0</v>
      </c>
      <c r="U304" s="202">
        <f>IFERROR(ROUND((T304+R304+Q304+P304+N304+S304),0),0)</f>
        <v>0</v>
      </c>
      <c r="V304" s="293" t="str">
        <f>IFERROR(ROUND(U304/F304,2),"")</f>
        <v/>
      </c>
    </row>
    <row r="305" spans="1:25" ht="20.100000000000001" customHeight="1" x14ac:dyDescent="0.2">
      <c r="A305" s="116" t="s">
        <v>70</v>
      </c>
      <c r="B305" s="122" t="s">
        <v>107</v>
      </c>
      <c r="C305" s="122"/>
      <c r="D305" s="123" t="str">
        <f t="array" ref="D305">IFERROR(INDEX('Crosswalk '!$C$9:$C$94,MATCH(1,(B305='Crosswalk '!$B$9:$B$94)*(E305='Crosswalk '!$G$9:$G$94),0)),"")</f>
        <v/>
      </c>
      <c r="E305" s="291" t="str">
        <f t="array" ref="E305">IFERROR(INDEX('Crosswalk '!$E$106:$E$125,MATCH(1,($A$298='Crosswalk '!$D$106:$D$125)*($C305='Crosswalk '!$F$106:$F$125),0)),"")</f>
        <v/>
      </c>
      <c r="F305" s="484"/>
      <c r="G305" s="185"/>
      <c r="H305" s="159" t="str">
        <f t="array" ref="H305">IFERROR(INDEX('Crosswalk '!$E$9:$E$103,MATCH(1,($B305='Crosswalk '!$B$9:$B$103)*($E305='Crosswalk '!$G$9:$G$103),0)),"")</f>
        <v/>
      </c>
      <c r="I305" s="125">
        <f t="shared" si="143"/>
        <v>0</v>
      </c>
      <c r="J305" s="126" t="str">
        <f t="shared" si="144"/>
        <v/>
      </c>
      <c r="K305" s="200">
        <f t="shared" si="145"/>
        <v>0</v>
      </c>
      <c r="L305" s="294">
        <f t="shared" ref="L305:L326" si="148">ROUND(K305*$B$300,0)</f>
        <v>0</v>
      </c>
      <c r="M305" s="294">
        <f t="shared" si="146"/>
        <v>0</v>
      </c>
      <c r="N305" s="186">
        <f t="shared" si="147"/>
        <v>0</v>
      </c>
      <c r="O305" s="201" t="str">
        <f>IFERROR(ROUND(N305/'Direct Prof Sal &amp; Fringes  '!$L$8,8),"")</f>
        <v/>
      </c>
      <c r="P305" s="186" t="str">
        <f>IF(ISBLANK(O305),"",IFERROR(ROUND(O305*' Indirect Non-prof Sal &amp; Fringe'!$M$42,0),""))</f>
        <v/>
      </c>
      <c r="Q305" s="186" t="str">
        <f>IF(ISBLANK(O305),"",IFERROR(ROUND(O305*'Direct and Indirect Expenses'!$K$20,0),""))</f>
        <v/>
      </c>
      <c r="R305" s="309">
        <f>IFERROR(SUMIF('Direct and Indirect Expenses'!$B$14:$B$34,'Financial Summary &amp; Stats'!B305,'Direct and Indirect Expenses'!$H$14:$H$34)*N305/SUMIF('Financial Summary &amp; Stats'!$B:$B,'Financial Summary &amp; Stats'!B305,'Financial Summary &amp; Stats'!$N:$N),0)</f>
        <v>0</v>
      </c>
      <c r="S305" s="595"/>
      <c r="T305" s="202">
        <f>IFERROR(IF('Direct and Indirect Expenses'!$A$9="Other Indirect Allocation Method",(ROUND((N305+P305)/($N$8+$P$8)*'Direct and Indirect Expenses'!$C$9,0)),ROUND((N305+P305)*'Direct and Indirect Expenses'!$B$9,0)),0)</f>
        <v>0</v>
      </c>
      <c r="U305" s="202">
        <f t="shared" ref="U305:U326" si="149">IFERROR(ROUND((T305+R305+Q305+P305+N305),0),0)</f>
        <v>0</v>
      </c>
      <c r="V305" s="293" t="str">
        <f t="shared" ref="V305:V326" si="150">IFERROR(ROUND(U305/F305,2),"")</f>
        <v/>
      </c>
      <c r="Y305" s="128"/>
    </row>
    <row r="306" spans="1:25" ht="20.100000000000001" customHeight="1" x14ac:dyDescent="0.2">
      <c r="A306" s="116" t="s">
        <v>115</v>
      </c>
      <c r="B306" s="122" t="s">
        <v>71</v>
      </c>
      <c r="C306" s="122"/>
      <c r="D306" s="123" t="str">
        <f t="array" ref="D306">IFERROR(INDEX('Crosswalk '!$C$9:$C$94,MATCH(1,(B306='Crosswalk '!$B$9:$B$94)*(E306='Crosswalk '!$G$9:$G$94),0)),"")</f>
        <v/>
      </c>
      <c r="E306" s="291" t="str">
        <f t="array" ref="E306">IFERROR(INDEX('Crosswalk '!$E$106:$E$125,MATCH(1,($A$298='Crosswalk '!$D$106:$D$125)*($C306='Crosswalk '!$F$106:$F$125),0)),"")</f>
        <v/>
      </c>
      <c r="F306" s="484"/>
      <c r="G306" s="185"/>
      <c r="H306" s="159" t="str">
        <f t="array" ref="H306">IFERROR(INDEX('Crosswalk '!$E$9:$E$103,MATCH(1,($B306='Crosswalk '!$B$9:$B$103)*($E306='Crosswalk '!$G$9:$G$103),0)),"")</f>
        <v/>
      </c>
      <c r="I306" s="125">
        <f t="shared" si="143"/>
        <v>0</v>
      </c>
      <c r="J306" s="126" t="str">
        <f t="shared" si="144"/>
        <v/>
      </c>
      <c r="K306" s="200">
        <f t="shared" si="145"/>
        <v>0</v>
      </c>
      <c r="L306" s="294">
        <f t="shared" si="148"/>
        <v>0</v>
      </c>
      <c r="M306" s="294">
        <f t="shared" si="146"/>
        <v>0</v>
      </c>
      <c r="N306" s="186">
        <f t="shared" si="147"/>
        <v>0</v>
      </c>
      <c r="O306" s="201" t="str">
        <f>IFERROR(ROUND(N306/'Direct Prof Sal &amp; Fringes  '!$L$8,8),"")</f>
        <v/>
      </c>
      <c r="P306" s="186" t="str">
        <f>IF(ISBLANK(O306),"",IFERROR(ROUND(O306*' Indirect Non-prof Sal &amp; Fringe'!$M$42,0),""))</f>
        <v/>
      </c>
      <c r="Q306" s="186" t="str">
        <f>IF(ISBLANK(O306),"",IFERROR(ROUND(O306*'Direct and Indirect Expenses'!$K$20,0),""))</f>
        <v/>
      </c>
      <c r="R306" s="309">
        <f>IFERROR(SUMIF('Direct and Indirect Expenses'!$B$14:$B$34,'Financial Summary &amp; Stats'!B306,'Direct and Indirect Expenses'!$H$14:$H$34)*N306/SUMIF('Financial Summary &amp; Stats'!$B:$B,'Financial Summary &amp; Stats'!B306,'Financial Summary &amp; Stats'!$N:$N),0)</f>
        <v>0</v>
      </c>
      <c r="S306" s="595"/>
      <c r="T306" s="202">
        <f>IFERROR(IF('Direct and Indirect Expenses'!$A$9="Other Indirect Allocation Method",(ROUND((N306+P306)/($N$8+$P$8)*'Direct and Indirect Expenses'!$C$9,0)),ROUND((N306+P306)*'Direct and Indirect Expenses'!$B$9,0)),0)</f>
        <v>0</v>
      </c>
      <c r="U306" s="202">
        <f t="shared" si="149"/>
        <v>0</v>
      </c>
      <c r="V306" s="293" t="str">
        <f t="shared" si="150"/>
        <v/>
      </c>
      <c r="Y306" s="128"/>
    </row>
    <row r="307" spans="1:25" ht="20.100000000000001" customHeight="1" x14ac:dyDescent="0.2">
      <c r="A307" s="116" t="s">
        <v>118</v>
      </c>
      <c r="B307" s="122" t="s">
        <v>124</v>
      </c>
      <c r="C307" s="122"/>
      <c r="D307" s="123" t="str">
        <f t="array" ref="D307">IFERROR(INDEX('Crosswalk '!$C$9:$C$94,MATCH(1,(B307='Crosswalk '!$B$9:$B$94)*(E307='Crosswalk '!$G$9:$G$94),0)),"")</f>
        <v/>
      </c>
      <c r="E307" s="291" t="str">
        <f t="array" ref="E307">IFERROR(INDEX('Crosswalk '!$E$106:$E$125,MATCH(1,($A$298='Crosswalk '!$D$106:$D$125)*($C307='Crosswalk '!$F$106:$F$125),0)),"")</f>
        <v/>
      </c>
      <c r="F307" s="484"/>
      <c r="G307" s="185"/>
      <c r="H307" s="159" t="str">
        <f t="array" ref="H307">IFERROR(INDEX('Crosswalk '!$E$9:$E$103,MATCH(1,($B307='Crosswalk '!$B$9:$B$103)*($E307='Crosswalk '!$G$9:$G$103),0)),"")</f>
        <v/>
      </c>
      <c r="I307" s="125">
        <f t="shared" si="143"/>
        <v>0</v>
      </c>
      <c r="J307" s="126" t="str">
        <f t="shared" si="144"/>
        <v/>
      </c>
      <c r="K307" s="200">
        <f t="shared" si="145"/>
        <v>0</v>
      </c>
      <c r="L307" s="294">
        <f t="shared" si="148"/>
        <v>0</v>
      </c>
      <c r="M307" s="294">
        <f t="shared" si="146"/>
        <v>0</v>
      </c>
      <c r="N307" s="186">
        <f t="shared" si="147"/>
        <v>0</v>
      </c>
      <c r="O307" s="201" t="str">
        <f>IFERROR(ROUND(N307/'Direct Prof Sal &amp; Fringes  '!$L$8,8),"")</f>
        <v/>
      </c>
      <c r="P307" s="186" t="str">
        <f>IF(ISBLANK(O307),"",IFERROR(ROUND(O307*' Indirect Non-prof Sal &amp; Fringe'!$M$42,0),""))</f>
        <v/>
      </c>
      <c r="Q307" s="186" t="str">
        <f>IF(ISBLANK(O307),"",IFERROR(ROUND(O307*'Direct and Indirect Expenses'!$K$20,0),""))</f>
        <v/>
      </c>
      <c r="R307" s="309">
        <f>IFERROR(SUMIF('Direct and Indirect Expenses'!$B$14:$B$34,'Financial Summary &amp; Stats'!B307,'Direct and Indirect Expenses'!$H$14:$H$34)*N307/SUMIF('Financial Summary &amp; Stats'!$B:$B,'Financial Summary &amp; Stats'!B307,'Financial Summary &amp; Stats'!$N:$N),0)</f>
        <v>0</v>
      </c>
      <c r="S307" s="595"/>
      <c r="T307" s="202">
        <f>IFERROR(IF('Direct and Indirect Expenses'!$A$9="Other Indirect Allocation Method",(ROUND((N307+P307)/($N$8+$P$8)*'Direct and Indirect Expenses'!$C$9,0)),ROUND((N307+P307)*'Direct and Indirect Expenses'!$B$9,0)),0)</f>
        <v>0</v>
      </c>
      <c r="U307" s="202">
        <f t="shared" si="149"/>
        <v>0</v>
      </c>
      <c r="V307" s="293" t="str">
        <f t="shared" si="150"/>
        <v/>
      </c>
      <c r="Y307" s="128"/>
    </row>
    <row r="308" spans="1:25" ht="20.100000000000001" customHeight="1" x14ac:dyDescent="0.2">
      <c r="A308" s="116" t="s">
        <v>119</v>
      </c>
      <c r="B308" s="132" t="s">
        <v>126</v>
      </c>
      <c r="C308" s="122"/>
      <c r="D308" s="123" t="str">
        <f t="array" ref="D308">IFERROR(INDEX('Crosswalk '!$C$9:$C$94,MATCH(1,(B308='Crosswalk '!$B$9:$B$94)*(E308='Crosswalk '!$G$9:$G$94),0)),"")</f>
        <v/>
      </c>
      <c r="E308" s="291" t="str">
        <f t="array" ref="E308">IFERROR(INDEX('Crosswalk '!$E$106:$E$125,MATCH(1,($A$298='Crosswalk '!$D$106:$D$125)*($C308='Crosswalk '!$F$106:$F$125),0)),"")</f>
        <v/>
      </c>
      <c r="F308" s="484"/>
      <c r="G308" s="185"/>
      <c r="H308" s="159" t="str">
        <f t="array" ref="H308">IFERROR(INDEX('Crosswalk '!$E$9:$E$103,MATCH(1,($B308='Crosswalk '!$B$9:$B$103)*($E308='Crosswalk '!$G$9:$G$103),0)),"")</f>
        <v/>
      </c>
      <c r="I308" s="125">
        <f t="shared" si="143"/>
        <v>0</v>
      </c>
      <c r="J308" s="126" t="str">
        <f t="shared" si="144"/>
        <v/>
      </c>
      <c r="K308" s="200">
        <f t="shared" si="145"/>
        <v>0</v>
      </c>
      <c r="L308" s="294">
        <f t="shared" si="148"/>
        <v>0</v>
      </c>
      <c r="M308" s="294">
        <f t="shared" si="146"/>
        <v>0</v>
      </c>
      <c r="N308" s="186">
        <f t="shared" si="147"/>
        <v>0</v>
      </c>
      <c r="O308" s="201" t="str">
        <f>IFERROR(ROUND(N308/'Direct Prof Sal &amp; Fringes  '!$L$8,8),"")</f>
        <v/>
      </c>
      <c r="P308" s="186" t="str">
        <f>IF(ISBLANK(O308),"",IFERROR(ROUND(O308*' Indirect Non-prof Sal &amp; Fringe'!$M$42,0),""))</f>
        <v/>
      </c>
      <c r="Q308" s="186" t="str">
        <f>IF(ISBLANK(O308),"",IFERROR(ROUND(O308*'Direct and Indirect Expenses'!$K$20,0),""))</f>
        <v/>
      </c>
      <c r="R308" s="309">
        <f>IFERROR(SUMIF('Direct and Indirect Expenses'!$B$14:$B$34,'Financial Summary &amp; Stats'!B308,'Direct and Indirect Expenses'!$H$14:$H$34)*N308/SUMIF('Financial Summary &amp; Stats'!$B:$B,'Financial Summary &amp; Stats'!B308,'Financial Summary &amp; Stats'!$N:$N),0)</f>
        <v>0</v>
      </c>
      <c r="S308" s="595"/>
      <c r="T308" s="202">
        <f>IFERROR(IF('Direct and Indirect Expenses'!$A$9="Other Indirect Allocation Method",(ROUND((N308+P308)/($N$8+$P$8)*'Direct and Indirect Expenses'!$C$9,0)),ROUND((N308+P308)*'Direct and Indirect Expenses'!$B$9,0)),0)</f>
        <v>0</v>
      </c>
      <c r="U308" s="202">
        <f t="shared" si="149"/>
        <v>0</v>
      </c>
      <c r="V308" s="293" t="str">
        <f t="shared" si="150"/>
        <v/>
      </c>
      <c r="W308" s="51"/>
    </row>
    <row r="309" spans="1:25" ht="20.100000000000001" customHeight="1" x14ac:dyDescent="0.2">
      <c r="A309" s="116" t="s">
        <v>80</v>
      </c>
      <c r="B309" s="122" t="s">
        <v>81</v>
      </c>
      <c r="C309" s="122"/>
      <c r="D309" s="123" t="str">
        <f t="array" ref="D309">IFERROR(INDEX('Crosswalk '!$C$9:$C$94,MATCH(1,(B309='Crosswalk '!$B$9:$B$94)*(E309='Crosswalk '!$G$9:$G$94),0)),"")</f>
        <v/>
      </c>
      <c r="E309" s="291" t="str">
        <f t="array" ref="E309">IFERROR(INDEX('Crosswalk '!$E$106:$E$125,MATCH(1,($A$298='Crosswalk '!$D$106:$D$125)*($C309='Crosswalk '!$F$106:$F$125),0)),"")</f>
        <v/>
      </c>
      <c r="F309" s="484"/>
      <c r="G309" s="185"/>
      <c r="H309" s="159" t="str">
        <f t="array" ref="H309">IFERROR(INDEX('Crosswalk '!$E$9:$E$103,MATCH(1,($B309='Crosswalk '!$B$9:$B$103)*($E309='Crosswalk '!$G$9:$G$103),0)),"")</f>
        <v/>
      </c>
      <c r="I309" s="125">
        <f t="shared" si="143"/>
        <v>0</v>
      </c>
      <c r="J309" s="126" t="str">
        <f t="shared" si="144"/>
        <v/>
      </c>
      <c r="K309" s="200">
        <f t="shared" si="145"/>
        <v>0</v>
      </c>
      <c r="L309" s="294">
        <f t="shared" si="148"/>
        <v>0</v>
      </c>
      <c r="M309" s="294">
        <f t="shared" si="146"/>
        <v>0</v>
      </c>
      <c r="N309" s="186">
        <f t="shared" si="147"/>
        <v>0</v>
      </c>
      <c r="O309" s="201" t="str">
        <f>IFERROR(ROUND(N309/'Direct Prof Sal &amp; Fringes  '!$L$8,8),"")</f>
        <v/>
      </c>
      <c r="P309" s="186" t="str">
        <f>IF(ISBLANK(O309),"",IFERROR(ROUND(O309*' Indirect Non-prof Sal &amp; Fringe'!$M$42,0),""))</f>
        <v/>
      </c>
      <c r="Q309" s="186" t="str">
        <f>IF(ISBLANK(O309),"",IFERROR(ROUND(O309*'Direct and Indirect Expenses'!$K$20,0),""))</f>
        <v/>
      </c>
      <c r="R309" s="309">
        <f>IFERROR(SUMIF('Direct and Indirect Expenses'!$B$14:$B$34,'Financial Summary &amp; Stats'!B309,'Direct and Indirect Expenses'!$H$14:$H$34)*N309/SUMIF('Financial Summary &amp; Stats'!$B:$B,'Financial Summary &amp; Stats'!B309,'Financial Summary &amp; Stats'!$N:$N),0)</f>
        <v>0</v>
      </c>
      <c r="S309" s="595"/>
      <c r="T309" s="202">
        <f>IFERROR(IF('Direct and Indirect Expenses'!$A$9="Other Indirect Allocation Method",(ROUND((N309+P309)/($N$8+$P$8)*'Direct and Indirect Expenses'!$C$9,0)),ROUND((N309+P309)*'Direct and Indirect Expenses'!$B$9,0)),0)</f>
        <v>0</v>
      </c>
      <c r="U309" s="202">
        <f t="shared" si="149"/>
        <v>0</v>
      </c>
      <c r="V309" s="293" t="str">
        <f t="shared" si="150"/>
        <v/>
      </c>
      <c r="Y309" s="128"/>
    </row>
    <row r="310" spans="1:25" ht="20.100000000000001" customHeight="1" x14ac:dyDescent="0.2">
      <c r="A310" s="116" t="s">
        <v>111</v>
      </c>
      <c r="B310" s="122">
        <v>90846</v>
      </c>
      <c r="C310" s="122"/>
      <c r="D310" s="123" t="str">
        <f t="array" ref="D310">IFERROR(INDEX('Crosswalk '!$C$9:$C$94,MATCH(1,(B310='Crosswalk '!$B$9:$B$94)*(E310='Crosswalk '!$G$9:$G$94),0)),"")</f>
        <v/>
      </c>
      <c r="E310" s="291" t="str">
        <f t="array" ref="E310">IFERROR(INDEX('Crosswalk '!$E$106:$E$125,MATCH(1,($A$298='Crosswalk '!$D$106:$D$125)*($C310='Crosswalk '!$F$106:$F$125),0)),"")</f>
        <v/>
      </c>
      <c r="F310" s="484"/>
      <c r="G310" s="185"/>
      <c r="H310" s="159" t="str">
        <f t="array" ref="H310">IFERROR(INDEX('Crosswalk '!$E$9:$E$103,MATCH(1,($B310='Crosswalk '!$B$9:$B$103)*($E310='Crosswalk '!$G$9:$G$103),0)),"")</f>
        <v/>
      </c>
      <c r="I310" s="125">
        <f t="shared" si="143"/>
        <v>0</v>
      </c>
      <c r="J310" s="126" t="str">
        <f t="shared" si="144"/>
        <v/>
      </c>
      <c r="K310" s="200">
        <f t="shared" si="145"/>
        <v>0</v>
      </c>
      <c r="L310" s="294">
        <f t="shared" si="148"/>
        <v>0</v>
      </c>
      <c r="M310" s="294">
        <f t="shared" si="146"/>
        <v>0</v>
      </c>
      <c r="N310" s="186">
        <f t="shared" si="147"/>
        <v>0</v>
      </c>
      <c r="O310" s="201" t="str">
        <f>IFERROR(ROUND(N310/'Direct Prof Sal &amp; Fringes  '!$L$8,8),"")</f>
        <v/>
      </c>
      <c r="P310" s="186" t="str">
        <f>IF(ISBLANK(O310),"",IFERROR(ROUND(O310*' Indirect Non-prof Sal &amp; Fringe'!$M$42,0),""))</f>
        <v/>
      </c>
      <c r="Q310" s="186" t="str">
        <f>IF(ISBLANK(O310),"",IFERROR(ROUND(O310*'Direct and Indirect Expenses'!$K$20,0),""))</f>
        <v/>
      </c>
      <c r="R310" s="309">
        <f>IFERROR(SUMIF('Direct and Indirect Expenses'!$B$14:$B$34,'Financial Summary &amp; Stats'!B310,'Direct and Indirect Expenses'!$H$14:$H$34)*N310/SUMIF('Financial Summary &amp; Stats'!$B:$B,'Financial Summary &amp; Stats'!B310,'Financial Summary &amp; Stats'!$N:$N),0)</f>
        <v>0</v>
      </c>
      <c r="S310" s="595"/>
      <c r="T310" s="202">
        <f>IFERROR(IF('Direct and Indirect Expenses'!$A$9="Other Indirect Allocation Method",(ROUND((N310+P310)/($N$8+$P$8)*'Direct and Indirect Expenses'!$C$9,0)),ROUND((N310+P310)*'Direct and Indirect Expenses'!$B$9,0)),0)</f>
        <v>0</v>
      </c>
      <c r="U310" s="202">
        <f t="shared" si="149"/>
        <v>0</v>
      </c>
      <c r="V310" s="293" t="str">
        <f t="shared" si="150"/>
        <v/>
      </c>
      <c r="Y310" s="128"/>
    </row>
    <row r="311" spans="1:25" ht="20.100000000000001" customHeight="1" x14ac:dyDescent="0.2">
      <c r="A311" s="116" t="s">
        <v>112</v>
      </c>
      <c r="B311" s="122">
        <v>90847</v>
      </c>
      <c r="C311" s="122"/>
      <c r="D311" s="123" t="str">
        <f t="array" ref="D311">IFERROR(INDEX('Crosswalk '!$C$9:$C$94,MATCH(1,(B311='Crosswalk '!$B$9:$B$94)*(E311='Crosswalk '!$G$9:$G$94),0)),"")</f>
        <v/>
      </c>
      <c r="E311" s="291" t="str">
        <f t="array" ref="E311">IFERROR(INDEX('Crosswalk '!$E$106:$E$125,MATCH(1,($A$298='Crosswalk '!$D$106:$D$125)*($C311='Crosswalk '!$F$106:$F$125),0)),"")</f>
        <v/>
      </c>
      <c r="F311" s="484"/>
      <c r="G311" s="185"/>
      <c r="H311" s="159" t="str">
        <f t="array" ref="H311">IFERROR(INDEX('Crosswalk '!$E$9:$E$103,MATCH(1,($B311='Crosswalk '!$B$9:$B$103)*($E311='Crosswalk '!$G$9:$G$103),0)),"")</f>
        <v/>
      </c>
      <c r="I311" s="125">
        <f t="shared" si="143"/>
        <v>0</v>
      </c>
      <c r="J311" s="126" t="str">
        <f t="shared" si="144"/>
        <v/>
      </c>
      <c r="K311" s="200">
        <f t="shared" si="145"/>
        <v>0</v>
      </c>
      <c r="L311" s="294">
        <f t="shared" si="148"/>
        <v>0</v>
      </c>
      <c r="M311" s="294">
        <f t="shared" si="146"/>
        <v>0</v>
      </c>
      <c r="N311" s="186">
        <f t="shared" si="147"/>
        <v>0</v>
      </c>
      <c r="O311" s="201" t="str">
        <f>IFERROR(ROUND(N311/'Direct Prof Sal &amp; Fringes  '!$L$8,8),"")</f>
        <v/>
      </c>
      <c r="P311" s="186" t="str">
        <f>IF(ISBLANK(O311),"",IFERROR(ROUND(O311*' Indirect Non-prof Sal &amp; Fringe'!$M$42,0),""))</f>
        <v/>
      </c>
      <c r="Q311" s="186" t="str">
        <f>IF(ISBLANK(O311),"",IFERROR(ROUND(O311*'Direct and Indirect Expenses'!$K$20,0),""))</f>
        <v/>
      </c>
      <c r="R311" s="309">
        <f>IFERROR(SUMIF('Direct and Indirect Expenses'!$B$14:$B$34,'Financial Summary &amp; Stats'!B311,'Direct and Indirect Expenses'!$H$14:$H$34)*N311/SUMIF('Financial Summary &amp; Stats'!$B:$B,'Financial Summary &amp; Stats'!B311,'Financial Summary &amp; Stats'!$N:$N),0)</f>
        <v>0</v>
      </c>
      <c r="S311" s="595"/>
      <c r="T311" s="202">
        <f>IFERROR(IF('Direct and Indirect Expenses'!$A$9="Other Indirect Allocation Method",(ROUND((N311+P311)/($N$8+$P$8)*'Direct and Indirect Expenses'!$C$9,0)),ROUND((N311+P311)*'Direct and Indirect Expenses'!$B$9,0)),0)</f>
        <v>0</v>
      </c>
      <c r="U311" s="202">
        <f t="shared" si="149"/>
        <v>0</v>
      </c>
      <c r="V311" s="293" t="str">
        <f t="shared" si="150"/>
        <v/>
      </c>
      <c r="Y311" s="128"/>
    </row>
    <row r="312" spans="1:25" ht="20.100000000000001" customHeight="1" x14ac:dyDescent="0.2">
      <c r="A312" s="116" t="s">
        <v>72</v>
      </c>
      <c r="B312" s="122">
        <v>90853</v>
      </c>
      <c r="C312" s="122"/>
      <c r="D312" s="123" t="str">
        <f t="array" ref="D312">IFERROR(INDEX('Crosswalk '!$C$9:$C$94,MATCH(1,(B312='Crosswalk '!$B$9:$B$94)*(E312='Crosswalk '!$G$9:$G$94),0)),"")</f>
        <v/>
      </c>
      <c r="E312" s="291" t="str">
        <f t="array" ref="E312">IFERROR(INDEX('Crosswalk '!$E$106:$E$125,MATCH(1,($A$298='Crosswalk '!$D$106:$D$125)*($C312='Crosswalk '!$F$106:$F$125),0)),"")</f>
        <v/>
      </c>
      <c r="F312" s="484"/>
      <c r="G312" s="486"/>
      <c r="H312" s="159" t="str">
        <f t="array" ref="H312">IFERROR(INDEX('Crosswalk '!$E$9:$E$103,MATCH(1,($B312='Crosswalk '!$B$9:$B$103)*($E312='Crosswalk '!$G$9:$G$103),0)),"")</f>
        <v/>
      </c>
      <c r="I312" s="166"/>
      <c r="J312" s="126" t="str">
        <f t="shared" si="144"/>
        <v/>
      </c>
      <c r="K312" s="200">
        <f t="shared" si="145"/>
        <v>0</v>
      </c>
      <c r="L312" s="294">
        <f t="shared" si="148"/>
        <v>0</v>
      </c>
      <c r="M312" s="294">
        <f t="shared" si="146"/>
        <v>0</v>
      </c>
      <c r="N312" s="186">
        <f t="shared" si="147"/>
        <v>0</v>
      </c>
      <c r="O312" s="201" t="str">
        <f>IFERROR(ROUND(N312/'Direct Prof Sal &amp; Fringes  '!$L$8,8),"")</f>
        <v/>
      </c>
      <c r="P312" s="186" t="str">
        <f>IF(ISBLANK(O312),"",IFERROR(ROUND(O312*' Indirect Non-prof Sal &amp; Fringe'!$M$42,0),""))</f>
        <v/>
      </c>
      <c r="Q312" s="186" t="str">
        <f>IF(ISBLANK(O312),"",IFERROR(ROUND(O312*'Direct and Indirect Expenses'!$K$20,0),""))</f>
        <v/>
      </c>
      <c r="R312" s="309">
        <f>IFERROR(SUMIF('Direct and Indirect Expenses'!$B$14:$B$34,'Financial Summary &amp; Stats'!B312,'Direct and Indirect Expenses'!$H$14:$H$34)*N312/SUMIF('Financial Summary &amp; Stats'!$B:$B,'Financial Summary &amp; Stats'!B312,'Financial Summary &amp; Stats'!$N:$N),0)</f>
        <v>0</v>
      </c>
      <c r="S312" s="595"/>
      <c r="T312" s="202">
        <f>IFERROR(IF('Direct and Indirect Expenses'!$A$9="Other Indirect Allocation Method",(ROUND((N312+P312)/($N$8+$P$8)*'Direct and Indirect Expenses'!$C$9,0)),ROUND((N312+P312)*'Direct and Indirect Expenses'!$B$9,0)),0)</f>
        <v>0</v>
      </c>
      <c r="U312" s="202">
        <f t="shared" si="149"/>
        <v>0</v>
      </c>
      <c r="V312" s="293" t="str">
        <f t="shared" si="150"/>
        <v/>
      </c>
      <c r="Y312" s="128"/>
    </row>
    <row r="313" spans="1:25" ht="20.100000000000001" customHeight="1" x14ac:dyDescent="0.2">
      <c r="A313" s="116" t="s">
        <v>127</v>
      </c>
      <c r="B313" s="122">
        <v>90832</v>
      </c>
      <c r="C313" s="122"/>
      <c r="D313" s="123" t="str">
        <f t="array" ref="D313">IFERROR(INDEX('Crosswalk '!$C$9:$C$94,MATCH(1,(B313='Crosswalk '!$B$9:$B$94)*(E313='Crosswalk '!$G$9:$G$94),0)),"")</f>
        <v/>
      </c>
      <c r="E313" s="291" t="str">
        <f t="array" ref="E313">IFERROR(INDEX('Crosswalk '!$E$106:$E$125,MATCH(1,($A$298='Crosswalk '!$D$106:$D$125)*($C313='Crosswalk '!$F$106:$F$125),0)),"")</f>
        <v/>
      </c>
      <c r="F313" s="484"/>
      <c r="G313" s="181"/>
      <c r="H313" s="159" t="str">
        <f t="array" ref="H313">IFERROR(INDEX('Crosswalk '!$E$9:$E$103,MATCH(1,($B313='Crosswalk '!$B$9:$B$103)*($E313='Crosswalk '!$G$9:$G$103),0)),"")</f>
        <v/>
      </c>
      <c r="I313" s="125">
        <f t="shared" ref="I313:I320" si="151">IFERROR(ROUND(F313*H313,2),0)</f>
        <v>0</v>
      </c>
      <c r="J313" s="126" t="str">
        <f t="shared" si="144"/>
        <v/>
      </c>
      <c r="K313" s="200">
        <f t="shared" si="145"/>
        <v>0</v>
      </c>
      <c r="L313" s="294">
        <f t="shared" si="148"/>
        <v>0</v>
      </c>
      <c r="M313" s="294">
        <f t="shared" si="146"/>
        <v>0</v>
      </c>
      <c r="N313" s="186">
        <f t="shared" si="147"/>
        <v>0</v>
      </c>
      <c r="O313" s="201" t="str">
        <f>IFERROR(ROUND(N313/'Direct Prof Sal &amp; Fringes  '!$L$8,8),"")</f>
        <v/>
      </c>
      <c r="P313" s="186" t="str">
        <f>IF(ISBLANK(O313),"",IFERROR(ROUND(O313*' Indirect Non-prof Sal &amp; Fringe'!$M$42,0),""))</f>
        <v/>
      </c>
      <c r="Q313" s="186" t="str">
        <f>IF(ISBLANK(O313),"",IFERROR(ROUND(O313*'Direct and Indirect Expenses'!$K$20,0),""))</f>
        <v/>
      </c>
      <c r="R313" s="309">
        <f>IFERROR(SUMIF('Direct and Indirect Expenses'!$B$14:$B$34,'Financial Summary &amp; Stats'!B313,'Direct and Indirect Expenses'!$H$14:$H$34)*N313/SUMIF('Financial Summary &amp; Stats'!$B:$B,'Financial Summary &amp; Stats'!B313,'Financial Summary &amp; Stats'!$N:$N),0)</f>
        <v>0</v>
      </c>
      <c r="S313" s="595"/>
      <c r="T313" s="202">
        <f>IFERROR(IF('Direct and Indirect Expenses'!$A$9="Other Indirect Allocation Method",(ROUND((N313+P313)/($N$8+$P$8)*'Direct and Indirect Expenses'!$C$9,0)),ROUND((N313+P313)*'Direct and Indirect Expenses'!$B$9,0)),0)</f>
        <v>0</v>
      </c>
      <c r="U313" s="202">
        <f t="shared" si="149"/>
        <v>0</v>
      </c>
      <c r="V313" s="293" t="str">
        <f t="shared" si="150"/>
        <v/>
      </c>
      <c r="Y313" s="128"/>
    </row>
    <row r="314" spans="1:25" ht="20.100000000000001" customHeight="1" x14ac:dyDescent="0.2">
      <c r="A314" s="116" t="s">
        <v>128</v>
      </c>
      <c r="B314" s="122">
        <v>90834</v>
      </c>
      <c r="C314" s="122"/>
      <c r="D314" s="123" t="str">
        <f t="array" ref="D314">IFERROR(INDEX('Crosswalk '!$C$9:$C$94,MATCH(1,(B314='Crosswalk '!$B$9:$B$94)*(E314='Crosswalk '!$G$9:$G$94),0)),"")</f>
        <v/>
      </c>
      <c r="E314" s="291" t="str">
        <f t="array" ref="E314">IFERROR(INDEX('Crosswalk '!$E$106:$E$125,MATCH(1,($A$298='Crosswalk '!$D$106:$D$125)*($C314='Crosswalk '!$F$106:$F$125),0)),"")</f>
        <v/>
      </c>
      <c r="F314" s="484"/>
      <c r="G314" s="181"/>
      <c r="H314" s="159" t="str">
        <f t="array" ref="H314">IFERROR(INDEX('Crosswalk '!$E$9:$E$103,MATCH(1,($B314='Crosswalk '!$B$9:$B$103)*($E314='Crosswalk '!$G$9:$G$103),0)),"")</f>
        <v/>
      </c>
      <c r="I314" s="125">
        <f t="shared" si="151"/>
        <v>0</v>
      </c>
      <c r="J314" s="126" t="str">
        <f t="shared" si="144"/>
        <v/>
      </c>
      <c r="K314" s="200">
        <f t="shared" si="145"/>
        <v>0</v>
      </c>
      <c r="L314" s="294">
        <f t="shared" si="148"/>
        <v>0</v>
      </c>
      <c r="M314" s="294">
        <f t="shared" si="146"/>
        <v>0</v>
      </c>
      <c r="N314" s="186">
        <f t="shared" si="147"/>
        <v>0</v>
      </c>
      <c r="O314" s="201" t="str">
        <f>IFERROR(ROUND(N314/'Direct Prof Sal &amp; Fringes  '!$L$8,8),"")</f>
        <v/>
      </c>
      <c r="P314" s="186" t="str">
        <f>IF(ISBLANK(O314),"",IFERROR(ROUND(O314*' Indirect Non-prof Sal &amp; Fringe'!$M$42,0),""))</f>
        <v/>
      </c>
      <c r="Q314" s="186" t="str">
        <f>IF(ISBLANK(O314),"",IFERROR(ROUND(O314*'Direct and Indirect Expenses'!$K$20,0),""))</f>
        <v/>
      </c>
      <c r="R314" s="309">
        <f>IFERROR(SUMIF('Direct and Indirect Expenses'!$B$14:$B$34,'Financial Summary &amp; Stats'!B314,'Direct and Indirect Expenses'!$H$14:$H$34)*N314/SUMIF('Financial Summary &amp; Stats'!$B:$B,'Financial Summary &amp; Stats'!B314,'Financial Summary &amp; Stats'!$N:$N),0)</f>
        <v>0</v>
      </c>
      <c r="S314" s="595"/>
      <c r="T314" s="202">
        <f>IFERROR(IF('Direct and Indirect Expenses'!$A$9="Other Indirect Allocation Method",(ROUND((N314+P314)/($N$8+$P$8)*'Direct and Indirect Expenses'!$C$9,0)),ROUND((N314+P314)*'Direct and Indirect Expenses'!$B$9,0)),0)</f>
        <v>0</v>
      </c>
      <c r="U314" s="202">
        <f t="shared" si="149"/>
        <v>0</v>
      </c>
      <c r="V314" s="293" t="str">
        <f t="shared" si="150"/>
        <v/>
      </c>
      <c r="Y314" s="128"/>
    </row>
    <row r="315" spans="1:25" ht="20.100000000000001" customHeight="1" x14ac:dyDescent="0.2">
      <c r="A315" s="116" t="s">
        <v>129</v>
      </c>
      <c r="B315" s="122">
        <v>90837</v>
      </c>
      <c r="C315" s="122"/>
      <c r="D315" s="123" t="str">
        <f t="array" ref="D315">IFERROR(INDEX('Crosswalk '!$C$9:$C$94,MATCH(1,(B315='Crosswalk '!$B$9:$B$94)*(E315='Crosswalk '!$G$9:$G$94),0)),"")</f>
        <v/>
      </c>
      <c r="E315" s="291" t="str">
        <f t="array" ref="E315">IFERROR(INDEX('Crosswalk '!$E$106:$E$125,MATCH(1,($A$298='Crosswalk '!$D$106:$D$125)*($C315='Crosswalk '!$F$106:$F$125),0)),"")</f>
        <v/>
      </c>
      <c r="F315" s="484"/>
      <c r="G315" s="181"/>
      <c r="H315" s="159" t="str">
        <f t="array" ref="H315">IFERROR(INDEX('Crosswalk '!$E$9:$E$103,MATCH(1,($B315='Crosswalk '!$B$9:$B$103)*($E315='Crosswalk '!$G$9:$G$103),0)),"")</f>
        <v/>
      </c>
      <c r="I315" s="125">
        <f t="shared" si="151"/>
        <v>0</v>
      </c>
      <c r="J315" s="126" t="str">
        <f t="shared" si="144"/>
        <v/>
      </c>
      <c r="K315" s="200">
        <f t="shared" si="145"/>
        <v>0</v>
      </c>
      <c r="L315" s="294">
        <f t="shared" si="148"/>
        <v>0</v>
      </c>
      <c r="M315" s="294">
        <f t="shared" si="146"/>
        <v>0</v>
      </c>
      <c r="N315" s="186">
        <f t="shared" si="147"/>
        <v>0</v>
      </c>
      <c r="O315" s="201" t="str">
        <f>IFERROR(ROUND(N315/'Direct Prof Sal &amp; Fringes  '!$L$8,8),"")</f>
        <v/>
      </c>
      <c r="P315" s="186" t="str">
        <f>IF(ISBLANK(O315),"",IFERROR(ROUND(O315*' Indirect Non-prof Sal &amp; Fringe'!$M$42,0),""))</f>
        <v/>
      </c>
      <c r="Q315" s="186" t="str">
        <f>IF(ISBLANK(O315),"",IFERROR(ROUND(O315*'Direct and Indirect Expenses'!$K$20,0),""))</f>
        <v/>
      </c>
      <c r="R315" s="309">
        <f>IFERROR(SUMIF('Direct and Indirect Expenses'!$B$14:$B$34,'Financial Summary &amp; Stats'!B315,'Direct and Indirect Expenses'!$H$14:$H$34)*N315/SUMIF('Financial Summary &amp; Stats'!$B:$B,'Financial Summary &amp; Stats'!B315,'Financial Summary &amp; Stats'!$N:$N),0)</f>
        <v>0</v>
      </c>
      <c r="S315" s="595"/>
      <c r="T315" s="202">
        <f>IFERROR(IF('Direct and Indirect Expenses'!$A$9="Other Indirect Allocation Method",(ROUND((N315+P315)/($N$8+$P$8)*'Direct and Indirect Expenses'!$C$9,0)),ROUND((N315+P315)*'Direct and Indirect Expenses'!$B$9,0)),0)</f>
        <v>0</v>
      </c>
      <c r="U315" s="202">
        <f t="shared" si="149"/>
        <v>0</v>
      </c>
      <c r="V315" s="293" t="str">
        <f t="shared" si="150"/>
        <v/>
      </c>
      <c r="Y315" s="128"/>
    </row>
    <row r="316" spans="1:25" ht="20.100000000000001" customHeight="1" x14ac:dyDescent="0.2">
      <c r="A316" s="116" t="s">
        <v>114</v>
      </c>
      <c r="B316" s="122" t="s">
        <v>113</v>
      </c>
      <c r="C316" s="122"/>
      <c r="D316" s="123" t="str">
        <f t="array" ref="D316">IFERROR(INDEX('Crosswalk '!$C$9:$C$94,MATCH(1,(B316='Crosswalk '!$B$9:$B$94)*(E316='Crosswalk '!$G$9:$G$94),0)),"")</f>
        <v/>
      </c>
      <c r="E316" s="291" t="str">
        <f t="array" ref="E316">IFERROR(INDEX('Crosswalk '!$E$106:$E$125,MATCH(1,($A$298='Crosswalk '!$D$106:$D$125)*($C316='Crosswalk '!$F$106:$F$125),0)),"")</f>
        <v/>
      </c>
      <c r="F316" s="484"/>
      <c r="G316" s="181"/>
      <c r="H316" s="159" t="str">
        <f t="array" ref="H316">IFERROR(INDEX('Crosswalk '!$E$9:$E$103,MATCH(1,($B316='Crosswalk '!$B$9:$B$103)*($E316='Crosswalk '!$G$9:$G$103),0)),"")</f>
        <v/>
      </c>
      <c r="I316" s="125">
        <f t="shared" si="151"/>
        <v>0</v>
      </c>
      <c r="J316" s="126" t="str">
        <f t="shared" si="144"/>
        <v/>
      </c>
      <c r="K316" s="200">
        <f t="shared" si="145"/>
        <v>0</v>
      </c>
      <c r="L316" s="294">
        <f t="shared" si="148"/>
        <v>0</v>
      </c>
      <c r="M316" s="294">
        <f t="shared" si="146"/>
        <v>0</v>
      </c>
      <c r="N316" s="186">
        <f t="shared" si="147"/>
        <v>0</v>
      </c>
      <c r="O316" s="201" t="str">
        <f>IFERROR(ROUND(N316/'Direct Prof Sal &amp; Fringes  '!$L$8,8),"")</f>
        <v/>
      </c>
      <c r="P316" s="186" t="str">
        <f>IF(ISBLANK(O316),"",IFERROR(ROUND(O316*' Indirect Non-prof Sal &amp; Fringe'!$M$42,0),""))</f>
        <v/>
      </c>
      <c r="Q316" s="186" t="str">
        <f>IF(ISBLANK(O316),"",IFERROR(ROUND(O316*'Direct and Indirect Expenses'!$K$20,0),""))</f>
        <v/>
      </c>
      <c r="R316" s="309">
        <f>IFERROR(SUMIF('Direct and Indirect Expenses'!$B$14:$B$34,'Financial Summary &amp; Stats'!B316,'Direct and Indirect Expenses'!$H$14:$H$34)*N316/SUMIF('Financial Summary &amp; Stats'!$B:$B,'Financial Summary &amp; Stats'!B316,'Financial Summary &amp; Stats'!$N:$N),0)</f>
        <v>0</v>
      </c>
      <c r="S316" s="595"/>
      <c r="T316" s="202">
        <f>IFERROR(IF('Direct and Indirect Expenses'!$A$9="Other Indirect Allocation Method",(ROUND((N316+P316)/($N$8+$P$8)*'Direct and Indirect Expenses'!$C$9,0)),ROUND((N316+P316)*'Direct and Indirect Expenses'!$B$9,0)),0)</f>
        <v>0</v>
      </c>
      <c r="U316" s="202">
        <f t="shared" si="149"/>
        <v>0</v>
      </c>
      <c r="V316" s="293" t="str">
        <f t="shared" si="150"/>
        <v/>
      </c>
      <c r="Y316" s="128"/>
    </row>
    <row r="317" spans="1:25" ht="20.100000000000001" customHeight="1" x14ac:dyDescent="0.2">
      <c r="A317" s="116" t="s">
        <v>130</v>
      </c>
      <c r="B317" s="122">
        <v>90849</v>
      </c>
      <c r="C317" s="122"/>
      <c r="D317" s="123" t="str">
        <f t="array" ref="D317">IFERROR(INDEX('Crosswalk '!$C$9:$C$94,MATCH(1,(B317='Crosswalk '!$B$9:$B$94)*(E317='Crosswalk '!$G$9:$G$94),0)),"")</f>
        <v/>
      </c>
      <c r="E317" s="291" t="str">
        <f t="array" ref="E317">IFERROR(INDEX('Crosswalk '!$E$106:$E$125,MATCH(1,($A$298='Crosswalk '!$D$106:$D$125)*($C317='Crosswalk '!$F$106:$F$125),0)),"")</f>
        <v/>
      </c>
      <c r="F317" s="484"/>
      <c r="G317" s="181"/>
      <c r="H317" s="159" t="str">
        <f t="array" ref="H317">IFERROR(INDEX('Crosswalk '!$E$9:$E$103,MATCH(1,($B317='Crosswalk '!$B$9:$B$103)*($E317='Crosswalk '!$G$9:$G$103),0)),"")</f>
        <v/>
      </c>
      <c r="I317" s="125">
        <f t="shared" si="151"/>
        <v>0</v>
      </c>
      <c r="J317" s="126" t="str">
        <f t="shared" si="144"/>
        <v/>
      </c>
      <c r="K317" s="200">
        <f t="shared" si="145"/>
        <v>0</v>
      </c>
      <c r="L317" s="294">
        <f t="shared" si="148"/>
        <v>0</v>
      </c>
      <c r="M317" s="294">
        <f t="shared" si="146"/>
        <v>0</v>
      </c>
      <c r="N317" s="186">
        <f t="shared" si="147"/>
        <v>0</v>
      </c>
      <c r="O317" s="201" t="str">
        <f>IFERROR(ROUND(N317/'Direct Prof Sal &amp; Fringes  '!$L$8,8),"")</f>
        <v/>
      </c>
      <c r="P317" s="186" t="str">
        <f>IF(ISBLANK(O317),"",IFERROR(ROUND(O317*' Indirect Non-prof Sal &amp; Fringe'!$M$42,0),""))</f>
        <v/>
      </c>
      <c r="Q317" s="186" t="str">
        <f>IF(ISBLANK(O317),"",IFERROR(ROUND(O317*'Direct and Indirect Expenses'!$K$20,0),""))</f>
        <v/>
      </c>
      <c r="R317" s="309">
        <f>IFERROR(SUMIF('Direct and Indirect Expenses'!$B$14:$B$34,'Financial Summary &amp; Stats'!B317,'Direct and Indirect Expenses'!$H$14:$H$34)*N317/SUMIF('Financial Summary &amp; Stats'!$B:$B,'Financial Summary &amp; Stats'!B317,'Financial Summary &amp; Stats'!$N:$N),0)</f>
        <v>0</v>
      </c>
      <c r="S317" s="595"/>
      <c r="T317" s="202">
        <f>IFERROR(IF('Direct and Indirect Expenses'!$A$9="Other Indirect Allocation Method",(ROUND((N317+P317)/($N$8+$P$8)*'Direct and Indirect Expenses'!$C$9,0)),ROUND((N317+P317)*'Direct and Indirect Expenses'!$B$9,0)),0)</f>
        <v>0</v>
      </c>
      <c r="U317" s="202">
        <f t="shared" si="149"/>
        <v>0</v>
      </c>
      <c r="V317" s="293" t="str">
        <f t="shared" si="150"/>
        <v/>
      </c>
      <c r="Y317" s="128"/>
    </row>
    <row r="318" spans="1:25" ht="20.100000000000001" customHeight="1" x14ac:dyDescent="0.2">
      <c r="A318" s="116" t="s">
        <v>83</v>
      </c>
      <c r="B318" s="122" t="s">
        <v>84</v>
      </c>
      <c r="C318" s="122"/>
      <c r="D318" s="123">
        <f t="array" ref="D318">IFERROR(INDEX('Crosswalk '!$C$9:$C$94,MATCH(1,(B318='Crosswalk '!$B$9:$B$94)*(E318='Crosswalk '!$G$9:$G$94),0)),"")</f>
        <v>0</v>
      </c>
      <c r="E318" s="291" t="str">
        <f t="array" ref="E318">IFERROR(INDEX('Crosswalk '!$E$106:$E$125,MATCH(1,($A$298='Crosswalk '!$D$106:$D$125)*($C318='Crosswalk '!$F$106:$F$125),0)),"")</f>
        <v/>
      </c>
      <c r="F318" s="484"/>
      <c r="G318" s="181"/>
      <c r="H318" s="159">
        <f t="array" ref="H318">IFERROR(INDEX('Crosswalk '!$E$9:$E$103,MATCH(1,($B318='Crosswalk '!$B$9:$B$103)*($E318='Crosswalk '!$G$9:$G$103),0)),"")</f>
        <v>0.25</v>
      </c>
      <c r="I318" s="125">
        <f t="shared" si="151"/>
        <v>0</v>
      </c>
      <c r="J318" s="126">
        <f t="shared" si="144"/>
        <v>0</v>
      </c>
      <c r="K318" s="200">
        <f t="shared" si="145"/>
        <v>0</v>
      </c>
      <c r="L318" s="294">
        <f t="shared" si="148"/>
        <v>0</v>
      </c>
      <c r="M318" s="294">
        <f t="shared" si="146"/>
        <v>0</v>
      </c>
      <c r="N318" s="186">
        <f t="shared" si="147"/>
        <v>0</v>
      </c>
      <c r="O318" s="201" t="str">
        <f>IFERROR(ROUND(N318/'Direct Prof Sal &amp; Fringes  '!$L$8,8),"")</f>
        <v/>
      </c>
      <c r="P318" s="186" t="str">
        <f>IF(ISBLANK(O318),"",IFERROR(ROUND(O318*' Indirect Non-prof Sal &amp; Fringe'!$M$42,0),""))</f>
        <v/>
      </c>
      <c r="Q318" s="186" t="str">
        <f>IF(ISBLANK(O318),"",IFERROR(ROUND(O318*'Direct and Indirect Expenses'!$K$20,0),""))</f>
        <v/>
      </c>
      <c r="R318" s="309">
        <f>IFERROR(SUMIF('Direct and Indirect Expenses'!$B$14:$B$34,'Financial Summary &amp; Stats'!B318,'Direct and Indirect Expenses'!$H$14:$H$34)*N318/SUMIF('Financial Summary &amp; Stats'!$B:$B,'Financial Summary &amp; Stats'!B318,'Financial Summary &amp; Stats'!$N:$N),0)</f>
        <v>0</v>
      </c>
      <c r="S318" s="595"/>
      <c r="T318" s="202">
        <f>IFERROR(IF('Direct and Indirect Expenses'!$A$9="Other Indirect Allocation Method",(ROUND((N318+P318)/($N$8+$P$8)*'Direct and Indirect Expenses'!$C$9,0)),ROUND((N318+P318)*'Direct and Indirect Expenses'!$B$9,0)),0)</f>
        <v>0</v>
      </c>
      <c r="U318" s="202">
        <f t="shared" si="149"/>
        <v>0</v>
      </c>
      <c r="V318" s="293" t="str">
        <f t="shared" si="150"/>
        <v/>
      </c>
      <c r="Y318" s="128"/>
    </row>
    <row r="319" spans="1:25" ht="20.100000000000001" customHeight="1" x14ac:dyDescent="0.2">
      <c r="A319" s="116" t="s">
        <v>132</v>
      </c>
      <c r="B319" s="122">
        <v>90792</v>
      </c>
      <c r="C319" s="122"/>
      <c r="D319" s="123" t="str">
        <f t="array" ref="D319">IFERROR(INDEX('Crosswalk '!$C$9:$C$94,MATCH(1,(B319='Crosswalk '!$B$9:$B$94)*(E319='Crosswalk '!$G$9:$G$94),0)),"")</f>
        <v/>
      </c>
      <c r="E319" s="291" t="str">
        <f t="array" ref="E319">IFERROR(INDEX('Crosswalk '!$E$106:$E$125,MATCH(1,($A$298='Crosswalk '!$D$106:$D$125)*($C319='Crosswalk '!$F$106:$F$125),0)),"")</f>
        <v/>
      </c>
      <c r="F319" s="484"/>
      <c r="G319" s="181"/>
      <c r="H319" s="159" t="str">
        <f t="array" ref="H319">IFERROR(INDEX('Crosswalk '!$E$9:$E$103,MATCH(1,($B319='Crosswalk '!$B$9:$B$103)*($E319='Crosswalk '!$G$9:$G$103),0)),"")</f>
        <v/>
      </c>
      <c r="I319" s="125">
        <f t="shared" si="151"/>
        <v>0</v>
      </c>
      <c r="J319" s="126" t="str">
        <f t="shared" si="144"/>
        <v/>
      </c>
      <c r="K319" s="200">
        <f t="shared" si="145"/>
        <v>0</v>
      </c>
      <c r="L319" s="294">
        <f t="shared" si="148"/>
        <v>0</v>
      </c>
      <c r="M319" s="294">
        <f t="shared" si="146"/>
        <v>0</v>
      </c>
      <c r="N319" s="186">
        <f t="shared" si="147"/>
        <v>0</v>
      </c>
      <c r="O319" s="201" t="str">
        <f>IFERROR(ROUND(N319/'Direct Prof Sal &amp; Fringes  '!$L$8,8),"")</f>
        <v/>
      </c>
      <c r="P319" s="186" t="str">
        <f>IF(ISBLANK(O319),"",IFERROR(ROUND(O319*' Indirect Non-prof Sal &amp; Fringe'!$M$42,0),""))</f>
        <v/>
      </c>
      <c r="Q319" s="186" t="str">
        <f>IF(ISBLANK(O319),"",IFERROR(ROUND(O319*'Direct and Indirect Expenses'!$K$20,0),""))</f>
        <v/>
      </c>
      <c r="R319" s="309">
        <f>IFERROR(SUMIF('Direct and Indirect Expenses'!$B$14:$B$34,'Financial Summary &amp; Stats'!B319,'Direct and Indirect Expenses'!$H$14:$H$34)*N319/SUMIF('Financial Summary &amp; Stats'!$B:$B,'Financial Summary &amp; Stats'!B319,'Financial Summary &amp; Stats'!$N:$N),0)</f>
        <v>0</v>
      </c>
      <c r="S319" s="595"/>
      <c r="T319" s="202">
        <f>IFERROR(IF('Direct and Indirect Expenses'!$A$9="Other Indirect Allocation Method",(ROUND((N319+P319)/($N$8+$P$8)*'Direct and Indirect Expenses'!$C$9,0)),ROUND((N319+P319)*'Direct and Indirect Expenses'!$B$9,0)),0)</f>
        <v>0</v>
      </c>
      <c r="U319" s="202">
        <f t="shared" si="149"/>
        <v>0</v>
      </c>
      <c r="V319" s="293" t="str">
        <f t="shared" si="150"/>
        <v/>
      </c>
      <c r="Y319" s="128"/>
    </row>
    <row r="320" spans="1:25" ht="20.100000000000001" customHeight="1" x14ac:dyDescent="0.2">
      <c r="A320" s="116" t="s">
        <v>131</v>
      </c>
      <c r="B320" s="122">
        <v>90791</v>
      </c>
      <c r="C320" s="122"/>
      <c r="D320" s="123" t="str">
        <f t="array" ref="D320">IFERROR(INDEX('Crosswalk '!$C$9:$C$94,MATCH(1,(B320='Crosswalk '!$B$9:$B$94)*(E320='Crosswalk '!$G$9:$G$94),0)),"")</f>
        <v/>
      </c>
      <c r="E320" s="291" t="str">
        <f t="array" ref="E320">IFERROR(INDEX('Crosswalk '!$E$106:$E$125,MATCH(1,($A$298='Crosswalk '!$D$106:$D$125)*($C320='Crosswalk '!$F$106:$F$125),0)),"")</f>
        <v/>
      </c>
      <c r="F320" s="484"/>
      <c r="G320" s="181"/>
      <c r="H320" s="159" t="str">
        <f t="array" ref="H320">IFERROR(INDEX('Crosswalk '!$E$9:$E$103,MATCH(1,($B320='Crosswalk '!$B$9:$B$103)*($E320='Crosswalk '!$G$9:$G$103),0)),"")</f>
        <v/>
      </c>
      <c r="I320" s="125">
        <f t="shared" si="151"/>
        <v>0</v>
      </c>
      <c r="J320" s="126" t="str">
        <f t="shared" si="144"/>
        <v/>
      </c>
      <c r="K320" s="200">
        <f t="shared" si="145"/>
        <v>0</v>
      </c>
      <c r="L320" s="294">
        <f t="shared" si="148"/>
        <v>0</v>
      </c>
      <c r="M320" s="294">
        <f t="shared" si="146"/>
        <v>0</v>
      </c>
      <c r="N320" s="186">
        <f t="shared" si="147"/>
        <v>0</v>
      </c>
      <c r="O320" s="201" t="str">
        <f>IFERROR(ROUND(N320/'Direct Prof Sal &amp; Fringes  '!$L$8,8),"")</f>
        <v/>
      </c>
      <c r="P320" s="186" t="str">
        <f>IF(ISBLANK(O320),"",IFERROR(ROUND(O320*' Indirect Non-prof Sal &amp; Fringe'!$M$42,0),""))</f>
        <v/>
      </c>
      <c r="Q320" s="186" t="str">
        <f>IF(ISBLANK(O320),"",IFERROR(ROUND(O320*'Direct and Indirect Expenses'!$K$20,0),""))</f>
        <v/>
      </c>
      <c r="R320" s="309">
        <f>IFERROR(SUMIF('Direct and Indirect Expenses'!$B$14:$B$34,'Financial Summary &amp; Stats'!B320,'Direct and Indirect Expenses'!$H$14:$H$34)*N320/SUMIF('Financial Summary &amp; Stats'!$B:$B,'Financial Summary &amp; Stats'!B320,'Financial Summary &amp; Stats'!$N:$N),0)</f>
        <v>0</v>
      </c>
      <c r="S320" s="595"/>
      <c r="T320" s="202">
        <f>IFERROR(IF('Direct and Indirect Expenses'!$A$9="Other Indirect Allocation Method",(ROUND((N320+P320)/($N$8+$P$8)*'Direct and Indirect Expenses'!$C$9,0)),ROUND((N320+P320)*'Direct and Indirect Expenses'!$B$9,0)),0)</f>
        <v>0</v>
      </c>
      <c r="U320" s="202">
        <f t="shared" si="149"/>
        <v>0</v>
      </c>
      <c r="V320" s="293" t="str">
        <f t="shared" si="150"/>
        <v/>
      </c>
      <c r="Y320" s="128"/>
    </row>
    <row r="321" spans="1:25" ht="20.100000000000001" customHeight="1" x14ac:dyDescent="0.2">
      <c r="A321" s="116" t="s">
        <v>116</v>
      </c>
      <c r="B321" s="122" t="s">
        <v>85</v>
      </c>
      <c r="C321" s="122" t="s">
        <v>195</v>
      </c>
      <c r="D321" s="123" t="str">
        <f t="array" ref="D321">IFERROR(INDEX('Crosswalk '!$C$9:$C$94,MATCH(1,(B321='Crosswalk '!$B$9:$B$94)*(E321='Crosswalk '!$G$9:$G$94),0)),"")</f>
        <v/>
      </c>
      <c r="E321" s="291" t="str">
        <f t="array" ref="E321">IFERROR(INDEX('Crosswalk '!$E$106:$E$125,MATCH(1,($A$298='Crosswalk '!$D$106:$D$125)*($C321='Crosswalk '!$F$106:$F$125),0)),"")</f>
        <v/>
      </c>
      <c r="F321" s="484"/>
      <c r="G321" s="181"/>
      <c r="H321" s="159" t="str">
        <f t="array" ref="H321">IFERROR(INDEX('Crosswalk '!$E$9:$E$103,MATCH(1,($B321='Crosswalk '!$B$9:$B$103)*($E321='Crosswalk '!$G$9:$G$103),0)),"")</f>
        <v/>
      </c>
      <c r="I321" s="125"/>
      <c r="J321" s="126" t="str">
        <f t="shared" si="144"/>
        <v/>
      </c>
      <c r="K321" s="200">
        <f t="shared" si="145"/>
        <v>0</v>
      </c>
      <c r="L321" s="294">
        <f t="shared" si="148"/>
        <v>0</v>
      </c>
      <c r="M321" s="294">
        <f t="shared" si="146"/>
        <v>0</v>
      </c>
      <c r="N321" s="186">
        <f t="shared" si="147"/>
        <v>0</v>
      </c>
      <c r="O321" s="201" t="str">
        <f>IFERROR(ROUND(N321/'Direct Prof Sal &amp; Fringes  '!$L$8,8),"")</f>
        <v/>
      </c>
      <c r="P321" s="186" t="str">
        <f>IF(ISBLANK(O321),"",IFERROR(ROUND(O321*' Indirect Non-prof Sal &amp; Fringe'!$M$42,0),""))</f>
        <v/>
      </c>
      <c r="Q321" s="186" t="str">
        <f>IF(ISBLANK(O321),"",IFERROR(ROUND(O321*'Direct and Indirect Expenses'!$K$20,0),""))</f>
        <v/>
      </c>
      <c r="R321" s="309">
        <f>IFERROR(SUMIF('Direct and Indirect Expenses'!$B$14:$B$34,'Financial Summary &amp; Stats'!B321,'Direct and Indirect Expenses'!$H$14:$H$34)*N321/SUMIF('Financial Summary &amp; Stats'!$B:$B,'Financial Summary &amp; Stats'!B321,'Financial Summary &amp; Stats'!$N:$N),0)</f>
        <v>0</v>
      </c>
      <c r="S321" s="595"/>
      <c r="T321" s="202">
        <f>IFERROR(IF('Direct and Indirect Expenses'!$A$9="Other Indirect Allocation Method",(ROUND((N321+P321)/($N$8+$P$8)*'Direct and Indirect Expenses'!$C$9,0)),ROUND((N321+P321)*'Direct and Indirect Expenses'!$B$9,0)),0)</f>
        <v>0</v>
      </c>
      <c r="U321" s="202">
        <f t="shared" si="149"/>
        <v>0</v>
      </c>
      <c r="V321" s="293" t="str">
        <f t="shared" si="150"/>
        <v/>
      </c>
      <c r="Y321" s="128"/>
    </row>
    <row r="322" spans="1:25" ht="20.100000000000001" customHeight="1" x14ac:dyDescent="0.2">
      <c r="A322" s="116" t="s">
        <v>116</v>
      </c>
      <c r="B322" s="122" t="s">
        <v>85</v>
      </c>
      <c r="C322" s="122" t="s">
        <v>196</v>
      </c>
      <c r="D322" s="123" t="str">
        <f t="array" ref="D322">IFERROR(INDEX('Crosswalk '!$C$9:$C$94,MATCH(1,(B322='Crosswalk '!$B$9:$B$94)*(E322='Crosswalk '!$G$9:$G$94),0)),"")</f>
        <v/>
      </c>
      <c r="E322" s="291" t="str">
        <f t="array" ref="E322">IFERROR(INDEX('Crosswalk '!$E$106:$E$125,MATCH(1,($A$298='Crosswalk '!$D$106:$D$125)*($C322='Crosswalk '!$F$106:$F$125),0)),"")</f>
        <v/>
      </c>
      <c r="F322" s="484"/>
      <c r="G322" s="486"/>
      <c r="H322" s="159" t="str">
        <f t="array" ref="H322">IFERROR(INDEX('Crosswalk '!$E$9:$E$103,MATCH(1,($B322='Crosswalk '!$B$9:$B$103)*($E322='Crosswalk '!$G$9:$G$103),0)),"")</f>
        <v/>
      </c>
      <c r="I322" s="166"/>
      <c r="J322" s="126" t="str">
        <f t="shared" si="144"/>
        <v/>
      </c>
      <c r="K322" s="200">
        <f t="shared" si="145"/>
        <v>0</v>
      </c>
      <c r="L322" s="294">
        <f t="shared" si="148"/>
        <v>0</v>
      </c>
      <c r="M322" s="294">
        <f t="shared" si="146"/>
        <v>0</v>
      </c>
      <c r="N322" s="186">
        <f t="shared" si="147"/>
        <v>0</v>
      </c>
      <c r="O322" s="201" t="str">
        <f>IFERROR(ROUND(N322/'Direct Prof Sal &amp; Fringes  '!$L$8,8),"")</f>
        <v/>
      </c>
      <c r="P322" s="186" t="str">
        <f>IF(ISBLANK(O322),"",IFERROR(ROUND(O322*' Indirect Non-prof Sal &amp; Fringe'!$M$42,0),""))</f>
        <v/>
      </c>
      <c r="Q322" s="186" t="str">
        <f>IF(ISBLANK(O322),"",IFERROR(ROUND(O322*'Direct and Indirect Expenses'!$K$20,0),""))</f>
        <v/>
      </c>
      <c r="R322" s="309">
        <f>IFERROR(SUMIF('Direct and Indirect Expenses'!$B$14:$B$34,'Financial Summary &amp; Stats'!B322,'Direct and Indirect Expenses'!$H$14:$H$34)*N322/SUMIF('Financial Summary &amp; Stats'!$B:$B,'Financial Summary &amp; Stats'!B322,'Financial Summary &amp; Stats'!$N:$N),0)</f>
        <v>0</v>
      </c>
      <c r="S322" s="595"/>
      <c r="T322" s="202">
        <f>IFERROR(IF('Direct and Indirect Expenses'!$A$9="Other Indirect Allocation Method",(ROUND((N322+P322)/($N$8+$P$8)*'Direct and Indirect Expenses'!$C$9,0)),ROUND((N322+P322)*'Direct and Indirect Expenses'!$B$9,0)),0)</f>
        <v>0</v>
      </c>
      <c r="U322" s="202">
        <f t="shared" si="149"/>
        <v>0</v>
      </c>
      <c r="V322" s="293" t="str">
        <f t="shared" si="150"/>
        <v/>
      </c>
      <c r="Y322" s="128"/>
    </row>
    <row r="323" spans="1:25" ht="20.100000000000001" customHeight="1" x14ac:dyDescent="0.2">
      <c r="A323" s="116" t="s">
        <v>116</v>
      </c>
      <c r="B323" s="122" t="s">
        <v>85</v>
      </c>
      <c r="C323" s="122"/>
      <c r="D323" s="123" t="str">
        <f t="array" ref="D323">IFERROR(INDEX('Crosswalk '!$C$9:$C$94,MATCH(1,(B323='Crosswalk '!$B$9:$B$94)*(E323='Crosswalk '!$G$9:$G$94),0)),"")</f>
        <v/>
      </c>
      <c r="E323" s="291" t="str">
        <f t="array" ref="E323">IFERROR(INDEX('Crosswalk '!$E$106:$E$125,MATCH(1,($A$298='Crosswalk '!$D$106:$D$125)*($C323='Crosswalk '!$F$106:$F$125),0)),"")</f>
        <v/>
      </c>
      <c r="F323" s="484"/>
      <c r="G323" s="486"/>
      <c r="H323" s="159" t="str">
        <f t="array" ref="H323">IFERROR(INDEX('Crosswalk '!$E$9:$E$103,MATCH(1,($B323='Crosswalk '!$B$9:$B$103)*($E323='Crosswalk '!$G$9:$G$103),0)),"")</f>
        <v/>
      </c>
      <c r="I323" s="166"/>
      <c r="J323" s="126" t="str">
        <f t="shared" si="144"/>
        <v/>
      </c>
      <c r="K323" s="200">
        <f t="shared" si="145"/>
        <v>0</v>
      </c>
      <c r="L323" s="294">
        <f t="shared" si="148"/>
        <v>0</v>
      </c>
      <c r="M323" s="294">
        <f t="shared" si="146"/>
        <v>0</v>
      </c>
      <c r="N323" s="186">
        <f t="shared" si="147"/>
        <v>0</v>
      </c>
      <c r="O323" s="201" t="str">
        <f>IFERROR(ROUND(N323/'Direct Prof Sal &amp; Fringes  '!$L$8,8),"")</f>
        <v/>
      </c>
      <c r="P323" s="186" t="str">
        <f>IF(ISBLANK(O323),"",IFERROR(ROUND(O323*' Indirect Non-prof Sal &amp; Fringe'!$M$42,0),""))</f>
        <v/>
      </c>
      <c r="Q323" s="186" t="str">
        <f>IF(ISBLANK(O323),"",IFERROR(ROUND(O323*'Direct and Indirect Expenses'!$K$20,0),""))</f>
        <v/>
      </c>
      <c r="R323" s="309">
        <f>IFERROR(SUMIF('Direct and Indirect Expenses'!$B$14:$B$34,'Financial Summary &amp; Stats'!B323,'Direct and Indirect Expenses'!$H$14:$H$34)*N323/SUMIF('Financial Summary &amp; Stats'!$B:$B,'Financial Summary &amp; Stats'!B323,'Financial Summary &amp; Stats'!$N:$N),0)</f>
        <v>0</v>
      </c>
      <c r="S323" s="595"/>
      <c r="T323" s="202">
        <f>IFERROR(IF('Direct and Indirect Expenses'!$A$9="Other Indirect Allocation Method",(ROUND((N323+P323)/($N$8+$P$8)*'Direct and Indirect Expenses'!$C$9,0)),ROUND((N323+P323)*'Direct and Indirect Expenses'!$B$9,0)),0)</f>
        <v>0</v>
      </c>
      <c r="U323" s="202">
        <f t="shared" si="149"/>
        <v>0</v>
      </c>
      <c r="V323" s="293" t="str">
        <f t="shared" si="150"/>
        <v/>
      </c>
      <c r="Y323" s="128"/>
    </row>
    <row r="324" spans="1:25" ht="20.100000000000001" customHeight="1" x14ac:dyDescent="0.2">
      <c r="A324" s="116" t="s">
        <v>110</v>
      </c>
      <c r="B324" s="122" t="s">
        <v>73</v>
      </c>
      <c r="C324" s="122"/>
      <c r="D324" s="123" t="str">
        <f t="array" ref="D324">IFERROR(INDEX('Crosswalk '!$C$9:$C$94,MATCH(1,(B324='Crosswalk '!$B$9:$B$94)*(E324='Crosswalk '!$G$9:$G$94),0)),"")</f>
        <v/>
      </c>
      <c r="E324" s="291" t="str">
        <f t="array" ref="E324">IFERROR(INDEX('Crosswalk '!$E$106:$E$125,MATCH(1,($A$298='Crosswalk '!$D$106:$D$125)*($C324='Crosswalk '!$F$106:$F$125),0)),"")</f>
        <v/>
      </c>
      <c r="F324" s="484"/>
      <c r="G324" s="181"/>
      <c r="H324" s="159" t="str">
        <f t="array" ref="H324">IFERROR(INDEX('Crosswalk '!$E$9:$E$103,MATCH(1,($B324='Crosswalk '!$B$9:$B$103)*($E324='Crosswalk '!$G$9:$G$103),0)),"")</f>
        <v/>
      </c>
      <c r="I324" s="125">
        <f t="shared" ref="I324:I326" si="152">IFERROR(ROUND(F324*H324,2),0)</f>
        <v>0</v>
      </c>
      <c r="J324" s="126" t="str">
        <f t="shared" si="144"/>
        <v/>
      </c>
      <c r="K324" s="200">
        <f t="shared" si="145"/>
        <v>0</v>
      </c>
      <c r="L324" s="294">
        <f t="shared" si="148"/>
        <v>0</v>
      </c>
      <c r="M324" s="294">
        <f t="shared" si="146"/>
        <v>0</v>
      </c>
      <c r="N324" s="186">
        <f t="shared" si="147"/>
        <v>0</v>
      </c>
      <c r="O324" s="201" t="str">
        <f>IFERROR(ROUND(N324/'Direct Prof Sal &amp; Fringes  '!$L$8,8),"")</f>
        <v/>
      </c>
      <c r="P324" s="186" t="str">
        <f>IF(ISBLANK(O324),"",IFERROR(ROUND(O324*' Indirect Non-prof Sal &amp; Fringe'!$M$42,0),""))</f>
        <v/>
      </c>
      <c r="Q324" s="186" t="str">
        <f>IF(ISBLANK(O324),"",IFERROR(ROUND(O324*'Direct and Indirect Expenses'!$K$20,0),""))</f>
        <v/>
      </c>
      <c r="R324" s="309">
        <f>IFERROR(SUMIF('Direct and Indirect Expenses'!$B$14:$B$34,'Financial Summary &amp; Stats'!B324,'Direct and Indirect Expenses'!$H$14:$H$34)*N324/SUMIF('Financial Summary &amp; Stats'!$B:$B,'Financial Summary &amp; Stats'!B324,'Financial Summary &amp; Stats'!$N:$N),0)</f>
        <v>0</v>
      </c>
      <c r="S324" s="595"/>
      <c r="T324" s="202">
        <f>IFERROR(IF('Direct and Indirect Expenses'!$A$9="Other Indirect Allocation Method",(ROUND((N324+P324)/($N$8+$P$8)*'Direct and Indirect Expenses'!$C$9,0)),ROUND((N324+P324)*'Direct and Indirect Expenses'!$B$9,0)),0)</f>
        <v>0</v>
      </c>
      <c r="U324" s="202">
        <f t="shared" si="149"/>
        <v>0</v>
      </c>
      <c r="V324" s="293" t="str">
        <f t="shared" si="150"/>
        <v/>
      </c>
      <c r="Y324" s="128"/>
    </row>
    <row r="325" spans="1:25" ht="20.100000000000001" customHeight="1" x14ac:dyDescent="0.2">
      <c r="A325" s="116" t="s">
        <v>109</v>
      </c>
      <c r="B325" s="122">
        <v>99367</v>
      </c>
      <c r="C325" s="122"/>
      <c r="D325" s="123">
        <f t="array" ref="D325">IFERROR(INDEX('Crosswalk '!$C$9:$C$94,MATCH(1,(B325='Crosswalk '!$B$9:$B$94)*(E325='Crosswalk '!$G$9:$G$94),0)),"")</f>
        <v>0</v>
      </c>
      <c r="E325" s="159" t="s">
        <v>142</v>
      </c>
      <c r="F325" s="484"/>
      <c r="G325" s="181"/>
      <c r="H325" s="159">
        <f t="array" ref="H325">IFERROR(INDEX('Crosswalk '!$E$9:$E$103,MATCH(1,($B325='Crosswalk '!$B$9:$B$103)*($E325='Crosswalk '!$G$9:$G$103),0)),"")</f>
        <v>0.5</v>
      </c>
      <c r="I325" s="125">
        <f t="shared" si="152"/>
        <v>0</v>
      </c>
      <c r="J325" s="126">
        <f t="shared" si="144"/>
        <v>0</v>
      </c>
      <c r="K325" s="200">
        <f t="shared" si="145"/>
        <v>0</v>
      </c>
      <c r="L325" s="294">
        <f t="shared" si="148"/>
        <v>0</v>
      </c>
      <c r="M325" s="294">
        <f t="shared" si="146"/>
        <v>0</v>
      </c>
      <c r="N325" s="186">
        <f t="shared" si="147"/>
        <v>0</v>
      </c>
      <c r="O325" s="201" t="str">
        <f>IFERROR(ROUND(N325/'Direct Prof Sal &amp; Fringes  '!$L$8,8),"")</f>
        <v/>
      </c>
      <c r="P325" s="186" t="str">
        <f>IF(ISBLANK(O325),"",IFERROR(ROUND(O325*' Indirect Non-prof Sal &amp; Fringe'!$M$42,0),""))</f>
        <v/>
      </c>
      <c r="Q325" s="186" t="str">
        <f>IF(ISBLANK(O325),"",IFERROR(ROUND(O325*'Direct and Indirect Expenses'!$K$20,0),""))</f>
        <v/>
      </c>
      <c r="R325" s="309">
        <f>IFERROR(SUMIF('Direct and Indirect Expenses'!$B$14:$B$34,'Financial Summary &amp; Stats'!B325,'Direct and Indirect Expenses'!$H$14:$H$34)*N325/SUMIF('Financial Summary &amp; Stats'!$B:$B,'Financial Summary &amp; Stats'!B325,'Financial Summary &amp; Stats'!$N:$N),0)</f>
        <v>0</v>
      </c>
      <c r="S325" s="595"/>
      <c r="T325" s="202">
        <f>IFERROR(IF('Direct and Indirect Expenses'!$A$9="Other Indirect Allocation Method",(ROUND((N325+P325)/($N$8+$P$8)*'Direct and Indirect Expenses'!$C$9,0)),ROUND((N325+P325)*'Direct and Indirect Expenses'!$B$9,0)),0)</f>
        <v>0</v>
      </c>
      <c r="U325" s="202">
        <f t="shared" si="149"/>
        <v>0</v>
      </c>
      <c r="V325" s="293" t="str">
        <f t="shared" si="150"/>
        <v/>
      </c>
      <c r="Y325" s="128"/>
    </row>
    <row r="326" spans="1:25" ht="20.100000000000001" customHeight="1" x14ac:dyDescent="0.2">
      <c r="A326" s="116" t="s">
        <v>108</v>
      </c>
      <c r="B326" s="122">
        <v>99366</v>
      </c>
      <c r="C326" s="122"/>
      <c r="D326" s="123">
        <f t="array" ref="D326">IFERROR(INDEX('Crosswalk '!$C$9:$C$94,MATCH(1,(B326='Crosswalk '!$B$9:$B$94)*(E326='Crosswalk '!$G$9:$G$94),0)),"")</f>
        <v>0</v>
      </c>
      <c r="E326" s="159" t="s">
        <v>142</v>
      </c>
      <c r="F326" s="484"/>
      <c r="G326" s="181"/>
      <c r="H326" s="159">
        <f t="array" ref="H326">IFERROR(INDEX('Crosswalk '!$E$9:$E$103,MATCH(1,($B326='Crosswalk '!$B$9:$B$103)*($E326='Crosswalk '!$G$9:$G$103),0)),"")</f>
        <v>0.5</v>
      </c>
      <c r="I326" s="125">
        <f t="shared" si="152"/>
        <v>0</v>
      </c>
      <c r="J326" s="126">
        <f t="shared" si="144"/>
        <v>0</v>
      </c>
      <c r="K326" s="200">
        <f t="shared" si="145"/>
        <v>0</v>
      </c>
      <c r="L326" s="294">
        <f t="shared" si="148"/>
        <v>0</v>
      </c>
      <c r="M326" s="294">
        <f t="shared" si="146"/>
        <v>0</v>
      </c>
      <c r="N326" s="186">
        <f t="shared" si="147"/>
        <v>0</v>
      </c>
      <c r="O326" s="201" t="str">
        <f>IFERROR(ROUND(N326/'Direct Prof Sal &amp; Fringes  '!$L$8,8),"")</f>
        <v/>
      </c>
      <c r="P326" s="186" t="str">
        <f>IF(ISBLANK(O326),"",IFERROR(ROUND(O326*' Indirect Non-prof Sal &amp; Fringe'!$M$42,0),""))</f>
        <v/>
      </c>
      <c r="Q326" s="186" t="str">
        <f>IF(ISBLANK(O326),"",IFERROR(ROUND(O326*'Direct and Indirect Expenses'!$K$20,0),""))</f>
        <v/>
      </c>
      <c r="R326" s="309">
        <f>IFERROR(SUMIF('Direct and Indirect Expenses'!$B$14:$B$34,'Financial Summary &amp; Stats'!B326,'Direct and Indirect Expenses'!$H$14:$H$34)*N326/SUMIF('Financial Summary &amp; Stats'!$B:$B,'Financial Summary &amp; Stats'!B326,'Financial Summary &amp; Stats'!$N:$N),0)</f>
        <v>0</v>
      </c>
      <c r="S326" s="595"/>
      <c r="T326" s="202">
        <f>IFERROR(IF('Direct and Indirect Expenses'!$A$9="Other Indirect Allocation Method",(ROUND((N326+P326)/($N$8+$P$8)*'Direct and Indirect Expenses'!$C$9,0)),ROUND((N326+P326)*'Direct and Indirect Expenses'!$B$9,0)),0)</f>
        <v>0</v>
      </c>
      <c r="U326" s="202">
        <f t="shared" si="149"/>
        <v>0</v>
      </c>
      <c r="V326" s="293" t="str">
        <f t="shared" si="150"/>
        <v/>
      </c>
      <c r="Y326" s="128"/>
    </row>
    <row r="327" spans="1:25" ht="20.100000000000001" customHeight="1" x14ac:dyDescent="0.2">
      <c r="A327" s="171"/>
      <c r="B327" s="172"/>
      <c r="C327" s="172"/>
      <c r="D327" s="173"/>
      <c r="E327" s="173"/>
      <c r="F327" s="174"/>
      <c r="G327" s="179"/>
      <c r="H327" s="175"/>
      <c r="I327" s="176"/>
      <c r="J327" s="176"/>
      <c r="K327" s="178"/>
      <c r="L327" s="296"/>
      <c r="M327" s="296"/>
      <c r="N327" s="302"/>
      <c r="O327" s="177"/>
      <c r="P327" s="177"/>
      <c r="Q327" s="177"/>
      <c r="R327" s="302"/>
      <c r="S327" s="302"/>
      <c r="T327" s="193"/>
      <c r="U327" s="193"/>
      <c r="V327" s="191"/>
      <c r="Y327" s="128"/>
    </row>
    <row r="328" spans="1:25" ht="20.100000000000001" customHeight="1" x14ac:dyDescent="0.2">
      <c r="A328" s="171"/>
      <c r="B328" s="172"/>
      <c r="C328" s="172"/>
      <c r="D328" s="173"/>
      <c r="E328" s="173"/>
      <c r="F328" s="174"/>
      <c r="G328" s="179"/>
      <c r="H328" s="175"/>
      <c r="I328" s="176"/>
      <c r="J328" s="176"/>
      <c r="K328" s="178"/>
      <c r="L328" s="296"/>
      <c r="M328" s="296"/>
      <c r="N328" s="302"/>
      <c r="O328" s="177"/>
      <c r="P328" s="177"/>
      <c r="Q328" s="177"/>
      <c r="R328" s="302"/>
      <c r="S328" s="302"/>
      <c r="T328" s="193"/>
      <c r="U328" s="193"/>
      <c r="V328" s="191"/>
      <c r="Y328" s="128"/>
    </row>
    <row r="329" spans="1:25" ht="20.100000000000001" customHeight="1" x14ac:dyDescent="0.25">
      <c r="A329" s="289" t="s">
        <v>101</v>
      </c>
      <c r="B329" s="122"/>
      <c r="C329" s="122"/>
      <c r="D329" s="123"/>
      <c r="E329" s="123"/>
      <c r="F329" s="130"/>
      <c r="G329" s="180"/>
      <c r="H329" s="159"/>
      <c r="I329" s="125"/>
      <c r="J329" s="126"/>
      <c r="K329" s="127"/>
      <c r="L329" s="295"/>
      <c r="M329" s="295"/>
      <c r="N329" s="186"/>
      <c r="O329" s="121"/>
      <c r="P329" s="121"/>
      <c r="Q329" s="186"/>
      <c r="R329" s="186"/>
      <c r="S329" s="186"/>
      <c r="T329" s="186"/>
      <c r="U329" s="186"/>
      <c r="V329" s="293"/>
      <c r="Y329" s="128"/>
    </row>
    <row r="330" spans="1:25" ht="20.100000000000001" customHeight="1" x14ac:dyDescent="0.2">
      <c r="A330" s="129" t="s">
        <v>117</v>
      </c>
      <c r="B330" s="131">
        <v>96101</v>
      </c>
      <c r="C330" s="131"/>
      <c r="D330" s="123" t="str">
        <f t="array" ref="D330">IFERROR(INDEX('Crosswalk '!$C$9:$C$94,MATCH(1,(B330='Crosswalk '!$B$9:$B$94)*(E330='Crosswalk '!$G$9:$G$94),0)),"")</f>
        <v/>
      </c>
      <c r="E330" s="291" t="str">
        <f t="array" ref="E330">IFERROR(INDEX('Crosswalk '!$E$106:$E$125,MATCH(1,($A$298='Crosswalk '!$D$106:$D$125)*($C330='Crosswalk '!$F$106:$F$125),0)),"")</f>
        <v/>
      </c>
      <c r="F330" s="485"/>
      <c r="G330" s="181"/>
      <c r="H330" s="159" t="str">
        <f t="array" ref="H330">IFERROR(INDEX('Crosswalk '!$E$9:$E$103,MATCH(1,($B330='Crosswalk '!$B$9:$B$103)*($E330='Crosswalk '!$G$9:$G$103),0)),"")</f>
        <v/>
      </c>
      <c r="I330" s="125">
        <f t="shared" ref="I330:I332" si="153">IFERROR(ROUND(F330*H330,2),0)</f>
        <v>0</v>
      </c>
      <c r="J330" s="126" t="str">
        <f t="shared" ref="J330:J332" si="154">IF(ISTEXT(H330),"",IFERROR(ROUND(I330+G330,2),""))</f>
        <v/>
      </c>
      <c r="K330" s="200">
        <f t="shared" ref="K330:K332" si="155">IF(ISERROR(J330/$J$337),0,ROUND(J330/$J$337,8))</f>
        <v>0</v>
      </c>
      <c r="L330" s="294">
        <f t="shared" ref="L330:L332" si="156">ROUND(K330*$B$300,0)</f>
        <v>0</v>
      </c>
      <c r="M330" s="294">
        <f t="shared" ref="M330:M332" si="157">IFERROR(ROUND(L330/$L$337*$M$337,0),0)</f>
        <v>0</v>
      </c>
      <c r="N330" s="186">
        <f t="shared" ref="N330:N332" si="158">ROUND(L330+M330,0)</f>
        <v>0</v>
      </c>
      <c r="O330" s="201" t="str">
        <f>IFERROR(ROUND(N330/'Direct Prof Sal &amp; Fringes  '!$L$8,8),"")</f>
        <v/>
      </c>
      <c r="P330" s="186" t="str">
        <f>IF(ISBLANK(O330),"",IFERROR(ROUND(O330*' Indirect Non-prof Sal &amp; Fringe'!$M$42,0),""))</f>
        <v/>
      </c>
      <c r="Q330" s="186" t="str">
        <f>IF(ISBLANK(O330),"",IFERROR(ROUND(O330*'Direct and Indirect Expenses'!$K$20,0),""))</f>
        <v/>
      </c>
      <c r="R330" s="309">
        <f>IFERROR(SUMIF('Direct and Indirect Expenses'!$B$14:$B$34,'Financial Summary &amp; Stats'!B330,'Direct and Indirect Expenses'!$H$14:$H$34)*N330/SUMIF('Financial Summary &amp; Stats'!$B:$B,'Financial Summary &amp; Stats'!B330,'Financial Summary &amp; Stats'!$N:$N),0)</f>
        <v>0</v>
      </c>
      <c r="S330" s="595"/>
      <c r="T330" s="202">
        <f>IFERROR(IF('Direct and Indirect Expenses'!$A$9="Other Indirect Allocation Method",(ROUND((N330+P330)/($N$8+$P$8)*'Direct and Indirect Expenses'!$C$9,0)),ROUND((N330+P330)*'Direct and Indirect Expenses'!$B$9,0)),0)</f>
        <v>0</v>
      </c>
      <c r="U330" s="202">
        <f t="shared" ref="U330:U332" si="159">IFERROR(ROUND((T330+R330+Q330+P330+N330),0),0)</f>
        <v>0</v>
      </c>
      <c r="V330" s="293" t="str">
        <f>IFERROR(ROUND(U330/F330,2),"")</f>
        <v/>
      </c>
      <c r="Y330" s="128"/>
    </row>
    <row r="331" spans="1:25" ht="20.100000000000001" customHeight="1" x14ac:dyDescent="0.2">
      <c r="A331" s="129" t="s">
        <v>122</v>
      </c>
      <c r="B331" s="132" t="s">
        <v>120</v>
      </c>
      <c r="C331" s="132"/>
      <c r="D331" s="123" t="str">
        <f t="array" ref="D331">IFERROR(INDEX('Crosswalk '!$C$9:$C$94,MATCH(1,(B331='Crosswalk '!$B$9:$B$94)*(E331='Crosswalk '!$G$9:$G$94),0)),"")</f>
        <v/>
      </c>
      <c r="E331" s="123"/>
      <c r="F331" s="485"/>
      <c r="G331" s="181"/>
      <c r="H331" s="159">
        <f t="array" ref="H331">IFERROR(INDEX('Crosswalk '!$E$9:$E$103,MATCH(1,($B331='Crosswalk '!$B$9:$B$103)*($E331='Crosswalk '!$G$9:$G$103),0)),"")</f>
        <v>0.25</v>
      </c>
      <c r="I331" s="125">
        <f t="shared" si="153"/>
        <v>0</v>
      </c>
      <c r="J331" s="126">
        <f t="shared" si="154"/>
        <v>0</v>
      </c>
      <c r="K331" s="200">
        <f t="shared" si="155"/>
        <v>0</v>
      </c>
      <c r="L331" s="294">
        <f t="shared" si="156"/>
        <v>0</v>
      </c>
      <c r="M331" s="294">
        <f t="shared" si="157"/>
        <v>0</v>
      </c>
      <c r="N331" s="186">
        <f t="shared" si="158"/>
        <v>0</v>
      </c>
      <c r="O331" s="201" t="str">
        <f>IFERROR(ROUND(N331/'Direct Prof Sal &amp; Fringes  '!$L$8,8),"")</f>
        <v/>
      </c>
      <c r="P331" s="186" t="str">
        <f>IF(ISBLANK(O331),"",IFERROR(ROUND(O331*' Indirect Non-prof Sal &amp; Fringe'!$M$42,0),""))</f>
        <v/>
      </c>
      <c r="Q331" s="186" t="str">
        <f>IF(ISBLANK(O331),"",IFERROR(ROUND(O331*'Direct and Indirect Expenses'!$K$20,0),""))</f>
        <v/>
      </c>
      <c r="R331" s="309">
        <f>IFERROR(SUMIF('Direct and Indirect Expenses'!$B$14:$B$34,'Financial Summary &amp; Stats'!B331,'Direct and Indirect Expenses'!$H$14:$H$34)*N331/SUMIF('Financial Summary &amp; Stats'!$B:$B,'Financial Summary &amp; Stats'!B331,'Financial Summary &amp; Stats'!$N:$N),0)</f>
        <v>0</v>
      </c>
      <c r="S331" s="595"/>
      <c r="T331" s="202">
        <f>IFERROR(IF('Direct and Indirect Expenses'!$A$9="Other Indirect Allocation Method",(ROUND((N331+P331)/($N$8+$P$8)*'Direct and Indirect Expenses'!$C$9,0)),ROUND((N331+P331)*'Direct and Indirect Expenses'!$B$9,0)),0)</f>
        <v>0</v>
      </c>
      <c r="U331" s="202">
        <f t="shared" si="159"/>
        <v>0</v>
      </c>
      <c r="V331" s="293" t="str">
        <f t="shared" ref="V331:V332" si="160">IFERROR(ROUND(U331/F331,2),"")</f>
        <v/>
      </c>
      <c r="Y331" s="128"/>
    </row>
    <row r="332" spans="1:25" ht="20.100000000000001" customHeight="1" x14ac:dyDescent="0.2">
      <c r="A332" s="129" t="s">
        <v>123</v>
      </c>
      <c r="B332" s="132" t="s">
        <v>121</v>
      </c>
      <c r="C332" s="132"/>
      <c r="D332" s="123" t="str">
        <f t="array" ref="D332">IFERROR(INDEX('Crosswalk '!$C$9:$C$94,MATCH(1,(B332='Crosswalk '!$B$9:$B$94)*(E332='Crosswalk '!$G$9:$G$94),0)),"")</f>
        <v/>
      </c>
      <c r="E332" s="123"/>
      <c r="F332" s="485"/>
      <c r="G332" s="181"/>
      <c r="H332" s="159">
        <f t="array" ref="H332">IFERROR(INDEX('Crosswalk '!$E$9:$E$103,MATCH(1,($B332='Crosswalk '!$B$9:$B$103)*($E332='Crosswalk '!$G$9:$G$103),0)),"")</f>
        <v>0.25</v>
      </c>
      <c r="I332" s="125">
        <f t="shared" si="153"/>
        <v>0</v>
      </c>
      <c r="J332" s="126">
        <f t="shared" si="154"/>
        <v>0</v>
      </c>
      <c r="K332" s="200">
        <f t="shared" si="155"/>
        <v>0</v>
      </c>
      <c r="L332" s="294">
        <f t="shared" si="156"/>
        <v>0</v>
      </c>
      <c r="M332" s="294">
        <f t="shared" si="157"/>
        <v>0</v>
      </c>
      <c r="N332" s="186">
        <f t="shared" si="158"/>
        <v>0</v>
      </c>
      <c r="O332" s="201" t="str">
        <f>IFERROR(ROUND(N332/'Direct Prof Sal &amp; Fringes  '!$L$8,8),"")</f>
        <v/>
      </c>
      <c r="P332" s="186" t="str">
        <f>IF(ISBLANK(O332),"",IFERROR(ROUND(O332*' Indirect Non-prof Sal &amp; Fringe'!$M$42,0),""))</f>
        <v/>
      </c>
      <c r="Q332" s="186" t="str">
        <f>IF(ISBLANK(O332),"",IFERROR(ROUND(O332*'Direct and Indirect Expenses'!$K$20,0),""))</f>
        <v/>
      </c>
      <c r="R332" s="309">
        <f>IFERROR(SUMIF('Direct and Indirect Expenses'!$B$14:$B$34,'Financial Summary &amp; Stats'!B332,'Direct and Indirect Expenses'!$H$14:$H$34)*N332/SUMIF('Financial Summary &amp; Stats'!$B:$B,'Financial Summary &amp; Stats'!B332,'Financial Summary &amp; Stats'!$N:$N),0)</f>
        <v>0</v>
      </c>
      <c r="S332" s="595"/>
      <c r="T332" s="202">
        <f>IFERROR(IF('Direct and Indirect Expenses'!$A$9="Other Indirect Allocation Method",(ROUND((N332+P332)/($N$8+$P$8)*'Direct and Indirect Expenses'!$C$9,0)),ROUND((N332+P332)*'Direct and Indirect Expenses'!$B$9,0)),0)</f>
        <v>0</v>
      </c>
      <c r="U332" s="202">
        <f t="shared" si="159"/>
        <v>0</v>
      </c>
      <c r="V332" s="293" t="str">
        <f t="shared" si="160"/>
        <v/>
      </c>
      <c r="Y332" s="128"/>
    </row>
    <row r="333" spans="1:25" ht="20.100000000000001" customHeight="1" x14ac:dyDescent="0.2">
      <c r="A333" s="161"/>
      <c r="B333" s="162"/>
      <c r="C333" s="162"/>
      <c r="D333" s="163"/>
      <c r="E333" s="163"/>
      <c r="F333" s="164"/>
      <c r="G333" s="181"/>
      <c r="H333" s="165"/>
      <c r="I333" s="166"/>
      <c r="J333" s="167"/>
      <c r="K333" s="169"/>
      <c r="L333" s="297"/>
      <c r="M333" s="297"/>
      <c r="N333" s="193"/>
      <c r="O333" s="168"/>
      <c r="P333" s="168"/>
      <c r="Q333" s="168"/>
      <c r="R333" s="193"/>
      <c r="S333" s="193"/>
      <c r="T333" s="193"/>
      <c r="U333" s="193"/>
      <c r="V333" s="191"/>
      <c r="Y333" s="128"/>
    </row>
    <row r="334" spans="1:25" ht="20.100000000000001" customHeight="1" x14ac:dyDescent="0.2">
      <c r="A334" s="161"/>
      <c r="B334" s="170"/>
      <c r="C334" s="170"/>
      <c r="D334" s="163"/>
      <c r="E334" s="163"/>
      <c r="F334" s="164"/>
      <c r="G334" s="181"/>
      <c r="H334" s="165"/>
      <c r="I334" s="166"/>
      <c r="J334" s="167"/>
      <c r="K334" s="169"/>
      <c r="L334" s="297"/>
      <c r="M334" s="297"/>
      <c r="N334" s="303"/>
      <c r="O334" s="168"/>
      <c r="P334" s="168"/>
      <c r="Q334" s="168"/>
      <c r="R334" s="193"/>
      <c r="S334" s="193"/>
      <c r="T334" s="193"/>
      <c r="U334" s="193"/>
      <c r="V334" s="191"/>
      <c r="Y334" s="128"/>
    </row>
    <row r="335" spans="1:25" ht="20.100000000000001" customHeight="1" x14ac:dyDescent="0.2">
      <c r="A335" s="129" t="s">
        <v>31</v>
      </c>
      <c r="B335" s="133"/>
      <c r="C335" s="133"/>
      <c r="D335" s="123"/>
      <c r="E335" s="123"/>
      <c r="F335" s="130"/>
      <c r="G335" s="180"/>
      <c r="H335" s="124"/>
      <c r="I335" s="120"/>
      <c r="J335" s="183">
        <f>B299-ROUND(SUM(J304:J326)+SUM(J330:J332),2)</f>
        <v>0</v>
      </c>
      <c r="K335" s="127">
        <f>IF(ISERROR(J335/$J$337),0,ROUND(J335/$J$337,8))</f>
        <v>0</v>
      </c>
      <c r="L335" s="297"/>
      <c r="M335" s="297"/>
      <c r="N335" s="303"/>
      <c r="O335" s="168"/>
      <c r="P335" s="168"/>
      <c r="Q335" s="168"/>
      <c r="R335" s="193"/>
      <c r="S335" s="193"/>
      <c r="T335" s="193"/>
      <c r="U335" s="193"/>
      <c r="V335" s="191"/>
      <c r="Y335" s="128"/>
    </row>
    <row r="336" spans="1:25" ht="20.100000000000001" customHeight="1" x14ac:dyDescent="0.2">
      <c r="A336" s="129"/>
      <c r="B336" s="133"/>
      <c r="C336" s="133"/>
      <c r="D336" s="123"/>
      <c r="E336" s="123"/>
      <c r="F336" s="130"/>
      <c r="G336" s="180"/>
      <c r="H336" s="124"/>
      <c r="I336" s="125"/>
      <c r="J336" s="126"/>
      <c r="K336" s="127"/>
      <c r="L336" s="297"/>
      <c r="M336" s="297"/>
      <c r="N336" s="303"/>
      <c r="O336" s="168"/>
      <c r="P336" s="168"/>
      <c r="Q336" s="168"/>
      <c r="R336" s="193"/>
      <c r="S336" s="193"/>
      <c r="T336" s="193"/>
      <c r="U336" s="193"/>
      <c r="V336" s="191"/>
      <c r="Y336" s="128"/>
    </row>
    <row r="337" spans="1:25" ht="20.100000000000001" customHeight="1" x14ac:dyDescent="0.2">
      <c r="A337" s="129" t="s">
        <v>38</v>
      </c>
      <c r="B337" s="133"/>
      <c r="C337" s="133"/>
      <c r="D337" s="123"/>
      <c r="E337" s="123"/>
      <c r="F337" s="134">
        <f>SUM(F304:F336)</f>
        <v>0</v>
      </c>
      <c r="G337" s="182">
        <f>ROUND(SUM(G304:G336),2)</f>
        <v>0</v>
      </c>
      <c r="H337" s="119"/>
      <c r="I337" s="125">
        <f>ROUND(SUM(I304:I336),2)</f>
        <v>0</v>
      </c>
      <c r="J337" s="126">
        <f>IFERROR(SUM(J304:J335),"")</f>
        <v>0</v>
      </c>
      <c r="K337" s="121">
        <f>ROUND(SUM(K304:K336),4)</f>
        <v>0</v>
      </c>
      <c r="L337" s="298">
        <f>ROUND(SUM(L304:L336),0)</f>
        <v>0</v>
      </c>
      <c r="M337" s="295">
        <f>ROUND(K335*$B$300,0)</f>
        <v>0</v>
      </c>
      <c r="N337" s="194">
        <f>ROUND(SUM(N304:N336),0)</f>
        <v>0</v>
      </c>
      <c r="O337" s="201" t="str">
        <f t="shared" ref="O337" si="161">IFERROR(ROUND(N337/$N$8,4),"")</f>
        <v/>
      </c>
      <c r="P337" s="135">
        <f t="shared" ref="P337:U337" si="162">ROUND(SUM(P304:P336),0)</f>
        <v>0</v>
      </c>
      <c r="Q337" s="135">
        <f t="shared" si="162"/>
        <v>0</v>
      </c>
      <c r="R337" s="194">
        <f t="shared" si="162"/>
        <v>0</v>
      </c>
      <c r="S337" s="194">
        <f t="shared" si="162"/>
        <v>0</v>
      </c>
      <c r="T337" s="194">
        <f t="shared" si="162"/>
        <v>0</v>
      </c>
      <c r="U337" s="194">
        <f t="shared" si="162"/>
        <v>0</v>
      </c>
      <c r="V337" s="190" t="str">
        <f>IFERROR(AVERAGE(V304:V326,V329:V332),"")</f>
        <v/>
      </c>
    </row>
    <row r="338" spans="1:25" ht="20.100000000000001" customHeight="1" thickBot="1" x14ac:dyDescent="0.3">
      <c r="A338" s="152"/>
      <c r="B338" s="153"/>
      <c r="C338" s="153"/>
      <c r="D338" s="154"/>
      <c r="E338" s="153"/>
      <c r="F338" s="153"/>
      <c r="G338" s="154"/>
      <c r="H338" s="156"/>
      <c r="I338" s="155"/>
      <c r="J338" s="153"/>
      <c r="K338" s="156"/>
      <c r="L338" s="301"/>
      <c r="M338" s="306"/>
      <c r="N338" s="307"/>
      <c r="O338" s="137"/>
      <c r="P338" s="137"/>
      <c r="Q338" s="137"/>
      <c r="R338" s="195"/>
      <c r="S338" s="195"/>
    </row>
    <row r="339" spans="1:25" ht="28.5" customHeight="1" x14ac:dyDescent="0.3">
      <c r="A339" s="669" t="str">
        <f>IF(ISBLANK('Direct Prof Sal &amp; Fringes  '!B315),"",+'Direct Prof Sal &amp; Fringes  '!B315)</f>
        <v/>
      </c>
      <c r="B339" s="670"/>
      <c r="C339" s="670"/>
      <c r="D339" s="670"/>
      <c r="E339" s="670"/>
      <c r="F339" s="670"/>
      <c r="G339" s="670"/>
      <c r="H339" s="670"/>
      <c r="I339" s="670"/>
      <c r="J339" s="670"/>
      <c r="K339" s="670"/>
      <c r="L339" s="670"/>
      <c r="M339" s="670"/>
      <c r="N339" s="670"/>
      <c r="O339" s="671"/>
      <c r="P339" s="671"/>
      <c r="Q339" s="671"/>
      <c r="R339" s="671"/>
      <c r="S339" s="671"/>
      <c r="T339" s="671"/>
      <c r="U339" s="671"/>
      <c r="V339" s="672"/>
    </row>
    <row r="340" spans="1:25" ht="20.100000000000001" customHeight="1" x14ac:dyDescent="0.25">
      <c r="A340" s="429" t="s">
        <v>18</v>
      </c>
      <c r="B340" s="461">
        <f>+'Direct Prof Sal &amp; Fringes  '!G350</f>
        <v>0</v>
      </c>
      <c r="C340" s="461"/>
      <c r="D340" s="431"/>
      <c r="E340" s="432"/>
      <c r="F340" s="432"/>
      <c r="G340" s="431"/>
      <c r="H340" s="433"/>
      <c r="I340" s="434"/>
      <c r="J340" s="432"/>
      <c r="K340" s="433"/>
      <c r="L340" s="435"/>
      <c r="M340" s="436"/>
      <c r="N340" s="436"/>
      <c r="O340" s="457"/>
      <c r="P340" s="457"/>
      <c r="Q340" s="457"/>
      <c r="R340" s="438"/>
      <c r="S340" s="438"/>
      <c r="T340" s="438"/>
      <c r="U340" s="439"/>
      <c r="V340" s="440"/>
    </row>
    <row r="341" spans="1:25" ht="20.100000000000001" customHeight="1" x14ac:dyDescent="0.25">
      <c r="A341" s="429" t="s">
        <v>163</v>
      </c>
      <c r="B341" s="462">
        <f>+'Direct Prof Sal &amp; Fringes  '!L350</f>
        <v>0</v>
      </c>
      <c r="C341" s="462"/>
      <c r="D341" s="431"/>
      <c r="E341" s="432"/>
      <c r="F341" s="432"/>
      <c r="G341" s="431"/>
      <c r="H341" s="433"/>
      <c r="I341" s="434"/>
      <c r="J341" s="432"/>
      <c r="K341" s="433"/>
      <c r="L341" s="435"/>
      <c r="M341" s="436"/>
      <c r="N341" s="436"/>
      <c r="O341" s="457"/>
      <c r="P341" s="457"/>
      <c r="Q341" s="457"/>
      <c r="R341" s="442"/>
      <c r="S341" s="442"/>
      <c r="T341" s="442"/>
      <c r="U341" s="442"/>
      <c r="V341" s="443"/>
    </row>
    <row r="342" spans="1:25" ht="20.100000000000001" customHeight="1" thickBot="1" x14ac:dyDescent="0.3">
      <c r="A342" s="444" t="s">
        <v>222</v>
      </c>
      <c r="B342" s="445">
        <f>IFERROR((ROUND((SUM($J$345:$J$373))/B340,8)),0)</f>
        <v>0</v>
      </c>
      <c r="C342" s="447"/>
      <c r="D342" s="448"/>
      <c r="E342" s="447"/>
      <c r="F342" s="447"/>
      <c r="G342" s="448"/>
      <c r="H342" s="449"/>
      <c r="I342" s="450"/>
      <c r="J342" s="447"/>
      <c r="K342" s="449"/>
      <c r="L342" s="451"/>
      <c r="M342" s="452"/>
      <c r="N342" s="452"/>
      <c r="O342" s="458"/>
      <c r="P342" s="458"/>
      <c r="Q342" s="458"/>
      <c r="R342" s="454"/>
      <c r="S342" s="454"/>
      <c r="T342" s="454"/>
      <c r="U342" s="454"/>
      <c r="V342" s="455"/>
    </row>
    <row r="343" spans="1:25" ht="19.5" customHeight="1" thickBot="1" x14ac:dyDescent="0.3">
      <c r="A343" s="428" t="s">
        <v>49</v>
      </c>
      <c r="B343" s="428" t="s">
        <v>50</v>
      </c>
      <c r="C343" s="428" t="s">
        <v>51</v>
      </c>
      <c r="D343" s="428" t="s">
        <v>52</v>
      </c>
      <c r="E343" s="428" t="s">
        <v>53</v>
      </c>
      <c r="F343" s="428" t="s">
        <v>54</v>
      </c>
      <c r="G343" s="428" t="s">
        <v>55</v>
      </c>
      <c r="H343" s="428" t="s">
        <v>56</v>
      </c>
      <c r="I343" s="428" t="s">
        <v>57</v>
      </c>
      <c r="J343" s="428" t="s">
        <v>58</v>
      </c>
      <c r="K343" s="428" t="s">
        <v>59</v>
      </c>
      <c r="L343" s="428" t="s">
        <v>223</v>
      </c>
      <c r="M343" s="428" t="s">
        <v>224</v>
      </c>
      <c r="N343" s="428" t="s">
        <v>225</v>
      </c>
      <c r="O343" s="428" t="s">
        <v>226</v>
      </c>
      <c r="P343" s="428" t="s">
        <v>227</v>
      </c>
      <c r="Q343" s="428" t="s">
        <v>228</v>
      </c>
      <c r="R343" s="428" t="s">
        <v>229</v>
      </c>
      <c r="S343" s="428" t="s">
        <v>230</v>
      </c>
      <c r="T343" s="428" t="s">
        <v>231</v>
      </c>
      <c r="U343" s="428" t="s">
        <v>232</v>
      </c>
      <c r="V343" s="428" t="s">
        <v>242</v>
      </c>
    </row>
    <row r="344" spans="1:25" ht="84" customHeight="1" thickBot="1" x14ac:dyDescent="0.3">
      <c r="A344" s="346" t="s">
        <v>244</v>
      </c>
      <c r="B344" s="347" t="s">
        <v>42</v>
      </c>
      <c r="C344" s="347" t="s">
        <v>198</v>
      </c>
      <c r="D344" s="348" t="s">
        <v>62</v>
      </c>
      <c r="E344" s="348" t="s">
        <v>98</v>
      </c>
      <c r="F344" s="536" t="s">
        <v>260</v>
      </c>
      <c r="G344" s="349" t="s">
        <v>199</v>
      </c>
      <c r="H344" s="350" t="s">
        <v>19</v>
      </c>
      <c r="I344" s="347" t="s">
        <v>256</v>
      </c>
      <c r="J344" s="347" t="s">
        <v>41</v>
      </c>
      <c r="K344" s="351" t="s">
        <v>30</v>
      </c>
      <c r="L344" s="352" t="s">
        <v>173</v>
      </c>
      <c r="M344" s="352" t="s">
        <v>177</v>
      </c>
      <c r="N344" s="352" t="s">
        <v>176</v>
      </c>
      <c r="O344" s="351" t="s">
        <v>172</v>
      </c>
      <c r="P344" s="353" t="s">
        <v>178</v>
      </c>
      <c r="Q344" s="351" t="s">
        <v>204</v>
      </c>
      <c r="R344" s="352" t="s">
        <v>203</v>
      </c>
      <c r="S344" s="352" t="s">
        <v>243</v>
      </c>
      <c r="T344" s="597" t="str">
        <f>IF(ISBLANK(+'Direct and Indirect Expenses'!$A$9),"Indirect Cost Method",+'Direct and Indirect Expenses'!$A$9)</f>
        <v>Indirect Cost Method</v>
      </c>
      <c r="U344" s="354" t="s">
        <v>23</v>
      </c>
      <c r="V344" s="355" t="s">
        <v>44</v>
      </c>
    </row>
    <row r="345" spans="1:25" ht="20.100000000000001" customHeight="1" x14ac:dyDescent="0.2">
      <c r="A345" s="290" t="s">
        <v>75</v>
      </c>
      <c r="B345" s="283" t="s">
        <v>77</v>
      </c>
      <c r="C345" s="283"/>
      <c r="D345" s="198" t="str">
        <f t="array" ref="D345">IFERROR(INDEX('Crosswalk '!$C$9:$C$94,MATCH(1,($B345='Crosswalk '!$B$9:$B$94)*($E345='Crosswalk '!$G$9:$G$94),0)),"")</f>
        <v/>
      </c>
      <c r="E345" s="291" t="str">
        <f t="array" ref="E345">IFERROR(INDEX('Crosswalk '!$E$106:$E$125,MATCH(1,($A$339='Crosswalk '!$D$106:$D$125)*($C345='Crosswalk '!$F$106:$F$125),0)),"")</f>
        <v/>
      </c>
      <c r="F345" s="485"/>
      <c r="G345" s="292"/>
      <c r="H345" s="159" t="str">
        <f t="array" ref="H345">IFERROR(INDEX('Crosswalk '!$E$9:$E$103,MATCH(1,($B345='Crosswalk '!$B$9:$B$103)*($E345='Crosswalk '!$G$9:$G$103),0)),"")</f>
        <v/>
      </c>
      <c r="I345" s="199">
        <f t="shared" ref="I345:I352" si="163">IFERROR(ROUND(F345*H345,2),0)</f>
        <v>0</v>
      </c>
      <c r="J345" s="126" t="str">
        <f t="shared" ref="J345:J367" si="164">IF(ISTEXT(H345),"",IFERROR(ROUND(I345+G345,2),""))</f>
        <v/>
      </c>
      <c r="K345" s="200">
        <f t="shared" ref="K345:K367" si="165">IF(ISERROR(J345/$J$378),0,ROUND(J345/$J$378,8))</f>
        <v>0</v>
      </c>
      <c r="L345" s="294">
        <f>ROUND(K345*$B$341,0)</f>
        <v>0</v>
      </c>
      <c r="M345" s="294">
        <f t="shared" ref="M345:M367" si="166">IFERROR(ROUND(L345/$L$378*$M$378,0),0)</f>
        <v>0</v>
      </c>
      <c r="N345" s="202">
        <f t="shared" ref="N345:N367" si="167">ROUND(L345+M345,0)</f>
        <v>0</v>
      </c>
      <c r="O345" s="201" t="str">
        <f>IFERROR(ROUND(N345/'Direct Prof Sal &amp; Fringes  '!$L$8,8),"")</f>
        <v/>
      </c>
      <c r="P345" s="202" t="str">
        <f>IF(ISBLANK(O345),"",IFERROR(ROUND(O345*' Indirect Non-prof Sal &amp; Fringe'!$M$42,0),""))</f>
        <v/>
      </c>
      <c r="Q345" s="202" t="str">
        <f>IF(ISBLANK(O345),"",IFERROR(ROUND(O345*'Direct and Indirect Expenses'!$K$20,0),""))</f>
        <v/>
      </c>
      <c r="R345" s="308">
        <f>IFERROR(SUMIF('Direct and Indirect Expenses'!$B$14:$B$34,'Financial Summary &amp; Stats'!B345,'Direct and Indirect Expenses'!$H$14:$H$34)*N345/SUMIF('Financial Summary &amp; Stats'!$B:$B,'Financial Summary &amp; Stats'!B345,'Financial Summary &amp; Stats'!$N:$N),0)</f>
        <v>0</v>
      </c>
      <c r="S345" s="595"/>
      <c r="T345" s="202">
        <f>IFERROR(IF('Direct and Indirect Expenses'!$A$9="Other Indirect Allocation Method",(ROUND((N345+P345)/($N$8+$P$8)*'Direct and Indirect Expenses'!$C$9,0)),ROUND((N345+P345)*'Direct and Indirect Expenses'!$B$9,0)),0)</f>
        <v>0</v>
      </c>
      <c r="U345" s="202">
        <f>IFERROR(ROUND((T345+R345+Q345+P345+N345+S345),0),0)</f>
        <v>0</v>
      </c>
      <c r="V345" s="293" t="str">
        <f>IFERROR(ROUND(U345/F345,2),"")</f>
        <v/>
      </c>
    </row>
    <row r="346" spans="1:25" ht="20.100000000000001" customHeight="1" x14ac:dyDescent="0.2">
      <c r="A346" s="116" t="s">
        <v>70</v>
      </c>
      <c r="B346" s="122" t="s">
        <v>107</v>
      </c>
      <c r="C346" s="122"/>
      <c r="D346" s="123" t="str">
        <f t="array" ref="D346">IFERROR(INDEX('Crosswalk '!$C$9:$C$94,MATCH(1,(B346='Crosswalk '!$B$9:$B$94)*(E346='Crosswalk '!$G$9:$G$94),0)),"")</f>
        <v/>
      </c>
      <c r="E346" s="291" t="str">
        <f t="array" ref="E346">IFERROR(INDEX('Crosswalk '!$E$106:$E$125,MATCH(1,($A$339='Crosswalk '!$D$106:$D$125)*($C346='Crosswalk '!$F$106:$F$125),0)),"")</f>
        <v/>
      </c>
      <c r="F346" s="485"/>
      <c r="G346" s="185"/>
      <c r="H346" s="159" t="str">
        <f t="array" ref="H346">IFERROR(INDEX('Crosswalk '!$E$9:$E$103,MATCH(1,($B346='Crosswalk '!$B$9:$B$103)*($E346='Crosswalk '!$G$9:$G$103),0)),"")</f>
        <v/>
      </c>
      <c r="I346" s="125">
        <f t="shared" si="163"/>
        <v>0</v>
      </c>
      <c r="J346" s="126" t="str">
        <f t="shared" si="164"/>
        <v/>
      </c>
      <c r="K346" s="200">
        <f t="shared" si="165"/>
        <v>0</v>
      </c>
      <c r="L346" s="294">
        <f t="shared" ref="L346:L367" si="168">ROUND(K346*$B$341,0)</f>
        <v>0</v>
      </c>
      <c r="M346" s="294">
        <f t="shared" si="166"/>
        <v>0</v>
      </c>
      <c r="N346" s="186">
        <f t="shared" si="167"/>
        <v>0</v>
      </c>
      <c r="O346" s="201" t="str">
        <f>IFERROR(ROUND(N346/'Direct Prof Sal &amp; Fringes  '!$L$8,8),"")</f>
        <v/>
      </c>
      <c r="P346" s="186" t="str">
        <f>IF(ISBLANK(O346),"",IFERROR(ROUND(O346*' Indirect Non-prof Sal &amp; Fringe'!$M$42,0),""))</f>
        <v/>
      </c>
      <c r="Q346" s="186" t="str">
        <f>IF(ISBLANK(O346),"",IFERROR(ROUND(O346*'Direct and Indirect Expenses'!$K$20,0),""))</f>
        <v/>
      </c>
      <c r="R346" s="309">
        <f>IFERROR(SUMIF('Direct and Indirect Expenses'!$B$14:$B$34,'Financial Summary &amp; Stats'!B346,'Direct and Indirect Expenses'!$H$14:$H$34)*N346/SUMIF('Financial Summary &amp; Stats'!$B:$B,'Financial Summary &amp; Stats'!B346,'Financial Summary &amp; Stats'!$N:$N),0)</f>
        <v>0</v>
      </c>
      <c r="S346" s="595"/>
      <c r="T346" s="202">
        <f>IFERROR(IF('Direct and Indirect Expenses'!$A$9="Other Indirect Allocation Method",(ROUND((N346+P346)/($N$8+$P$8)*'Direct and Indirect Expenses'!$C$9,0)),ROUND((N346+P346)*'Direct and Indirect Expenses'!$B$9,0)),0)</f>
        <v>0</v>
      </c>
      <c r="U346" s="202">
        <f t="shared" ref="U346:U367" si="169">IFERROR(ROUND((T346+R346+Q346+P346+N346),0),0)</f>
        <v>0</v>
      </c>
      <c r="V346" s="293" t="str">
        <f t="shared" ref="V346:V367" si="170">IFERROR(ROUND(U346/F346,2),"")</f>
        <v/>
      </c>
      <c r="Y346" s="128"/>
    </row>
    <row r="347" spans="1:25" ht="20.100000000000001" customHeight="1" x14ac:dyDescent="0.2">
      <c r="A347" s="116" t="s">
        <v>115</v>
      </c>
      <c r="B347" s="122" t="s">
        <v>71</v>
      </c>
      <c r="C347" s="122"/>
      <c r="D347" s="123" t="str">
        <f t="array" ref="D347">IFERROR(INDEX('Crosswalk '!$C$9:$C$94,MATCH(1,(B347='Crosswalk '!$B$9:$B$94)*(E347='Crosswalk '!$G$9:$G$94),0)),"")</f>
        <v/>
      </c>
      <c r="E347" s="291" t="str">
        <f t="array" ref="E347">IFERROR(INDEX('Crosswalk '!$E$106:$E$125,MATCH(1,($A$339='Crosswalk '!$D$106:$D$125)*($C347='Crosswalk '!$F$106:$F$125),0)),"")</f>
        <v/>
      </c>
      <c r="F347" s="485"/>
      <c r="G347" s="185"/>
      <c r="H347" s="159" t="str">
        <f t="array" ref="H347">IFERROR(INDEX('Crosswalk '!$E$9:$E$103,MATCH(1,($B347='Crosswalk '!$B$9:$B$103)*($E347='Crosswalk '!$G$9:$G$103),0)),"")</f>
        <v/>
      </c>
      <c r="I347" s="125">
        <f t="shared" si="163"/>
        <v>0</v>
      </c>
      <c r="J347" s="126" t="str">
        <f t="shared" si="164"/>
        <v/>
      </c>
      <c r="K347" s="200">
        <f t="shared" si="165"/>
        <v>0</v>
      </c>
      <c r="L347" s="294">
        <f t="shared" si="168"/>
        <v>0</v>
      </c>
      <c r="M347" s="294">
        <f t="shared" si="166"/>
        <v>0</v>
      </c>
      <c r="N347" s="186">
        <f t="shared" si="167"/>
        <v>0</v>
      </c>
      <c r="O347" s="201" t="str">
        <f>IFERROR(ROUND(N347/'Direct Prof Sal &amp; Fringes  '!$L$8,8),"")</f>
        <v/>
      </c>
      <c r="P347" s="186" t="str">
        <f>IF(ISBLANK(O347),"",IFERROR(ROUND(O347*' Indirect Non-prof Sal &amp; Fringe'!$M$42,0),""))</f>
        <v/>
      </c>
      <c r="Q347" s="186" t="str">
        <f>IF(ISBLANK(O347),"",IFERROR(ROUND(O347*'Direct and Indirect Expenses'!$K$20,0),""))</f>
        <v/>
      </c>
      <c r="R347" s="309">
        <f>IFERROR(SUMIF('Direct and Indirect Expenses'!$B$14:$B$34,'Financial Summary &amp; Stats'!B347,'Direct and Indirect Expenses'!$H$14:$H$34)*N347/SUMIF('Financial Summary &amp; Stats'!$B:$B,'Financial Summary &amp; Stats'!B347,'Financial Summary &amp; Stats'!$N:$N),0)</f>
        <v>0</v>
      </c>
      <c r="S347" s="595"/>
      <c r="T347" s="202">
        <f>IFERROR(IF('Direct and Indirect Expenses'!$A$9="Other Indirect Allocation Method",(ROUND((N347+P347)/($N$8+$P$8)*'Direct and Indirect Expenses'!$C$9,0)),ROUND((N347+P347)*'Direct and Indirect Expenses'!$B$9,0)),0)</f>
        <v>0</v>
      </c>
      <c r="U347" s="202">
        <f t="shared" si="169"/>
        <v>0</v>
      </c>
      <c r="V347" s="293" t="str">
        <f t="shared" si="170"/>
        <v/>
      </c>
      <c r="Y347" s="128"/>
    </row>
    <row r="348" spans="1:25" ht="20.100000000000001" customHeight="1" x14ac:dyDescent="0.2">
      <c r="A348" s="116" t="s">
        <v>118</v>
      </c>
      <c r="B348" s="122" t="s">
        <v>124</v>
      </c>
      <c r="C348" s="122"/>
      <c r="D348" s="123" t="str">
        <f t="array" ref="D348">IFERROR(INDEX('Crosswalk '!$C$9:$C$94,MATCH(1,(B348='Crosswalk '!$B$9:$B$94)*(E348='Crosswalk '!$G$9:$G$94),0)),"")</f>
        <v/>
      </c>
      <c r="E348" s="291" t="str">
        <f t="array" ref="E348">IFERROR(INDEX('Crosswalk '!$E$106:$E$125,MATCH(1,($A$339='Crosswalk '!$D$106:$D$125)*($C348='Crosswalk '!$F$106:$F$125),0)),"")</f>
        <v/>
      </c>
      <c r="F348" s="485"/>
      <c r="G348" s="185"/>
      <c r="H348" s="159" t="str">
        <f t="array" ref="H348">IFERROR(INDEX('Crosswalk '!$E$9:$E$103,MATCH(1,($B348='Crosswalk '!$B$9:$B$103)*($E348='Crosswalk '!$G$9:$G$103),0)),"")</f>
        <v/>
      </c>
      <c r="I348" s="125">
        <f t="shared" si="163"/>
        <v>0</v>
      </c>
      <c r="J348" s="126" t="str">
        <f t="shared" si="164"/>
        <v/>
      </c>
      <c r="K348" s="200">
        <f t="shared" si="165"/>
        <v>0</v>
      </c>
      <c r="L348" s="294">
        <f t="shared" si="168"/>
        <v>0</v>
      </c>
      <c r="M348" s="294">
        <f t="shared" si="166"/>
        <v>0</v>
      </c>
      <c r="N348" s="186">
        <f t="shared" si="167"/>
        <v>0</v>
      </c>
      <c r="O348" s="201" t="str">
        <f>IFERROR(ROUND(N348/'Direct Prof Sal &amp; Fringes  '!$L$8,8),"")</f>
        <v/>
      </c>
      <c r="P348" s="186" t="str">
        <f>IF(ISBLANK(O348),"",IFERROR(ROUND(O348*' Indirect Non-prof Sal &amp; Fringe'!$M$42,0),""))</f>
        <v/>
      </c>
      <c r="Q348" s="186" t="str">
        <f>IF(ISBLANK(O348),"",IFERROR(ROUND(O348*'Direct and Indirect Expenses'!$K$20,0),""))</f>
        <v/>
      </c>
      <c r="R348" s="309">
        <f>IFERROR(SUMIF('Direct and Indirect Expenses'!$B$14:$B$34,'Financial Summary &amp; Stats'!B348,'Direct and Indirect Expenses'!$H$14:$H$34)*N348/SUMIF('Financial Summary &amp; Stats'!$B:$B,'Financial Summary &amp; Stats'!B348,'Financial Summary &amp; Stats'!$N:$N),0)</f>
        <v>0</v>
      </c>
      <c r="S348" s="595"/>
      <c r="T348" s="202">
        <f>IFERROR(IF('Direct and Indirect Expenses'!$A$9="Other Indirect Allocation Method",(ROUND((N348+P348)/($N$8+$P$8)*'Direct and Indirect Expenses'!$C$9,0)),ROUND((N348+P348)*'Direct and Indirect Expenses'!$B$9,0)),0)</f>
        <v>0</v>
      </c>
      <c r="U348" s="202">
        <f t="shared" si="169"/>
        <v>0</v>
      </c>
      <c r="V348" s="293" t="str">
        <f t="shared" si="170"/>
        <v/>
      </c>
      <c r="Y348" s="128"/>
    </row>
    <row r="349" spans="1:25" ht="20.100000000000001" customHeight="1" x14ac:dyDescent="0.2">
      <c r="A349" s="116" t="s">
        <v>119</v>
      </c>
      <c r="B349" s="132" t="s">
        <v>126</v>
      </c>
      <c r="C349" s="122"/>
      <c r="D349" s="123" t="str">
        <f t="array" ref="D349">IFERROR(INDEX('Crosswalk '!$C$9:$C$94,MATCH(1,(B349='Crosswalk '!$B$9:$B$94)*(E349='Crosswalk '!$G$9:$G$94),0)),"")</f>
        <v/>
      </c>
      <c r="E349" s="291" t="str">
        <f t="array" ref="E349">IFERROR(INDEX('Crosswalk '!$E$106:$E$125,MATCH(1,($A$339='Crosswalk '!$D$106:$D$125)*($C349='Crosswalk '!$F$106:$F$125),0)),"")</f>
        <v/>
      </c>
      <c r="F349" s="485"/>
      <c r="G349" s="185"/>
      <c r="H349" s="159" t="str">
        <f t="array" ref="H349">IFERROR(INDEX('Crosswalk '!$E$9:$E$103,MATCH(1,($B349='Crosswalk '!$B$9:$B$103)*($E349='Crosswalk '!$G$9:$G$103),0)),"")</f>
        <v/>
      </c>
      <c r="I349" s="125">
        <f t="shared" si="163"/>
        <v>0</v>
      </c>
      <c r="J349" s="126" t="str">
        <f t="shared" si="164"/>
        <v/>
      </c>
      <c r="K349" s="200">
        <f t="shared" si="165"/>
        <v>0</v>
      </c>
      <c r="L349" s="294">
        <f t="shared" si="168"/>
        <v>0</v>
      </c>
      <c r="M349" s="294">
        <f t="shared" si="166"/>
        <v>0</v>
      </c>
      <c r="N349" s="186">
        <f t="shared" si="167"/>
        <v>0</v>
      </c>
      <c r="O349" s="201" t="str">
        <f>IFERROR(ROUND(N349/'Direct Prof Sal &amp; Fringes  '!$L$8,8),"")</f>
        <v/>
      </c>
      <c r="P349" s="186" t="str">
        <f>IF(ISBLANK(O349),"",IFERROR(ROUND(O349*' Indirect Non-prof Sal &amp; Fringe'!$M$42,0),""))</f>
        <v/>
      </c>
      <c r="Q349" s="186" t="str">
        <f>IF(ISBLANK(O349),"",IFERROR(ROUND(O349*'Direct and Indirect Expenses'!$K$20,0),""))</f>
        <v/>
      </c>
      <c r="R349" s="309">
        <f>IFERROR(SUMIF('Direct and Indirect Expenses'!$B$14:$B$34,'Financial Summary &amp; Stats'!B349,'Direct and Indirect Expenses'!$H$14:$H$34)*N349/SUMIF('Financial Summary &amp; Stats'!$B:$B,'Financial Summary &amp; Stats'!B349,'Financial Summary &amp; Stats'!$N:$N),0)</f>
        <v>0</v>
      </c>
      <c r="S349" s="595"/>
      <c r="T349" s="202">
        <f>IFERROR(IF('Direct and Indirect Expenses'!$A$9="Other Indirect Allocation Method",(ROUND((N349+P349)/($N$8+$P$8)*'Direct and Indirect Expenses'!$C$9,0)),ROUND((N349+P349)*'Direct and Indirect Expenses'!$B$9,0)),0)</f>
        <v>0</v>
      </c>
      <c r="U349" s="202">
        <f t="shared" si="169"/>
        <v>0</v>
      </c>
      <c r="V349" s="293" t="str">
        <f t="shared" si="170"/>
        <v/>
      </c>
      <c r="W349" s="51"/>
    </row>
    <row r="350" spans="1:25" ht="20.100000000000001" customHeight="1" x14ac:dyDescent="0.2">
      <c r="A350" s="116" t="s">
        <v>80</v>
      </c>
      <c r="B350" s="122" t="s">
        <v>81</v>
      </c>
      <c r="C350" s="122"/>
      <c r="D350" s="123" t="str">
        <f t="array" ref="D350">IFERROR(INDEX('Crosswalk '!$C$9:$C$94,MATCH(1,(B350='Crosswalk '!$B$9:$B$94)*(E350='Crosswalk '!$G$9:$G$94),0)),"")</f>
        <v/>
      </c>
      <c r="E350" s="291" t="str">
        <f t="array" ref="E350">IFERROR(INDEX('Crosswalk '!$E$106:$E$125,MATCH(1,($A$339='Crosswalk '!$D$106:$D$125)*($C350='Crosswalk '!$F$106:$F$125),0)),"")</f>
        <v/>
      </c>
      <c r="F350" s="485"/>
      <c r="G350" s="185"/>
      <c r="H350" s="159" t="str">
        <f t="array" ref="H350">IFERROR(INDEX('Crosswalk '!$E$9:$E$103,MATCH(1,($B350='Crosswalk '!$B$9:$B$103)*($E350='Crosswalk '!$G$9:$G$103),0)),"")</f>
        <v/>
      </c>
      <c r="I350" s="125">
        <f t="shared" si="163"/>
        <v>0</v>
      </c>
      <c r="J350" s="126" t="str">
        <f t="shared" si="164"/>
        <v/>
      </c>
      <c r="K350" s="200">
        <f t="shared" si="165"/>
        <v>0</v>
      </c>
      <c r="L350" s="294">
        <f t="shared" si="168"/>
        <v>0</v>
      </c>
      <c r="M350" s="294">
        <f t="shared" si="166"/>
        <v>0</v>
      </c>
      <c r="N350" s="186">
        <f t="shared" si="167"/>
        <v>0</v>
      </c>
      <c r="O350" s="201" t="str">
        <f>IFERROR(ROUND(N350/'Direct Prof Sal &amp; Fringes  '!$L$8,8),"")</f>
        <v/>
      </c>
      <c r="P350" s="186" t="str">
        <f>IF(ISBLANK(O350),"",IFERROR(ROUND(O350*' Indirect Non-prof Sal &amp; Fringe'!$M$42,0),""))</f>
        <v/>
      </c>
      <c r="Q350" s="186" t="str">
        <f>IF(ISBLANK(O350),"",IFERROR(ROUND(O350*'Direct and Indirect Expenses'!$K$20,0),""))</f>
        <v/>
      </c>
      <c r="R350" s="309">
        <f>IFERROR(SUMIF('Direct and Indirect Expenses'!$B$14:$B$34,'Financial Summary &amp; Stats'!B350,'Direct and Indirect Expenses'!$H$14:$H$34)*N350/SUMIF('Financial Summary &amp; Stats'!$B:$B,'Financial Summary &amp; Stats'!B350,'Financial Summary &amp; Stats'!$N:$N),0)</f>
        <v>0</v>
      </c>
      <c r="S350" s="595"/>
      <c r="T350" s="202">
        <f>IFERROR(IF('Direct and Indirect Expenses'!$A$9="Other Indirect Allocation Method",(ROUND((N350+P350)/($N$8+$P$8)*'Direct and Indirect Expenses'!$C$9,0)),ROUND((N350+P350)*'Direct and Indirect Expenses'!$B$9,0)),0)</f>
        <v>0</v>
      </c>
      <c r="U350" s="202">
        <f t="shared" si="169"/>
        <v>0</v>
      </c>
      <c r="V350" s="293" t="str">
        <f t="shared" si="170"/>
        <v/>
      </c>
      <c r="Y350" s="128"/>
    </row>
    <row r="351" spans="1:25" ht="20.100000000000001" customHeight="1" x14ac:dyDescent="0.2">
      <c r="A351" s="116" t="s">
        <v>111</v>
      </c>
      <c r="B351" s="122">
        <v>90846</v>
      </c>
      <c r="C351" s="122"/>
      <c r="D351" s="123" t="str">
        <f t="array" ref="D351">IFERROR(INDEX('Crosswalk '!$C$9:$C$94,MATCH(1,(B351='Crosswalk '!$B$9:$B$94)*(E351='Crosswalk '!$G$9:$G$94),0)),"")</f>
        <v/>
      </c>
      <c r="E351" s="291" t="str">
        <f t="array" ref="E351">IFERROR(INDEX('Crosswalk '!$E$106:$E$125,MATCH(1,($A$339='Crosswalk '!$D$106:$D$125)*($C351='Crosswalk '!$F$106:$F$125),0)),"")</f>
        <v/>
      </c>
      <c r="F351" s="485"/>
      <c r="G351" s="185"/>
      <c r="H351" s="159" t="str">
        <f t="array" ref="H351">IFERROR(INDEX('Crosswalk '!$E$9:$E$103,MATCH(1,($B351='Crosswalk '!$B$9:$B$103)*($E351='Crosswalk '!$G$9:$G$103),0)),"")</f>
        <v/>
      </c>
      <c r="I351" s="125">
        <f t="shared" si="163"/>
        <v>0</v>
      </c>
      <c r="J351" s="126" t="str">
        <f t="shared" si="164"/>
        <v/>
      </c>
      <c r="K351" s="200">
        <f t="shared" si="165"/>
        <v>0</v>
      </c>
      <c r="L351" s="294">
        <f t="shared" si="168"/>
        <v>0</v>
      </c>
      <c r="M351" s="294">
        <f t="shared" si="166"/>
        <v>0</v>
      </c>
      <c r="N351" s="186">
        <f t="shared" si="167"/>
        <v>0</v>
      </c>
      <c r="O351" s="201" t="str">
        <f>IFERROR(ROUND(N351/'Direct Prof Sal &amp; Fringes  '!$L$8,8),"")</f>
        <v/>
      </c>
      <c r="P351" s="186" t="str">
        <f>IF(ISBLANK(O351),"",IFERROR(ROUND(O351*' Indirect Non-prof Sal &amp; Fringe'!$M$42,0),""))</f>
        <v/>
      </c>
      <c r="Q351" s="186" t="str">
        <f>IF(ISBLANK(O351),"",IFERROR(ROUND(O351*'Direct and Indirect Expenses'!$K$20,0),""))</f>
        <v/>
      </c>
      <c r="R351" s="309">
        <f>IFERROR(SUMIF('Direct and Indirect Expenses'!$B$14:$B$34,'Financial Summary &amp; Stats'!B351,'Direct and Indirect Expenses'!$H$14:$H$34)*N351/SUMIF('Financial Summary &amp; Stats'!$B:$B,'Financial Summary &amp; Stats'!B351,'Financial Summary &amp; Stats'!$N:$N),0)</f>
        <v>0</v>
      </c>
      <c r="S351" s="595"/>
      <c r="T351" s="202">
        <f>IFERROR(IF('Direct and Indirect Expenses'!$A$9="Other Indirect Allocation Method",(ROUND((N351+P351)/($N$8+$P$8)*'Direct and Indirect Expenses'!$C$9,0)),ROUND((N351+P351)*'Direct and Indirect Expenses'!$B$9,0)),0)</f>
        <v>0</v>
      </c>
      <c r="U351" s="202">
        <f t="shared" si="169"/>
        <v>0</v>
      </c>
      <c r="V351" s="293" t="str">
        <f t="shared" si="170"/>
        <v/>
      </c>
      <c r="Y351" s="128"/>
    </row>
    <row r="352" spans="1:25" ht="20.100000000000001" customHeight="1" x14ac:dyDescent="0.2">
      <c r="A352" s="116" t="s">
        <v>112</v>
      </c>
      <c r="B352" s="122">
        <v>90847</v>
      </c>
      <c r="C352" s="122"/>
      <c r="D352" s="123" t="str">
        <f t="array" ref="D352">IFERROR(INDEX('Crosswalk '!$C$9:$C$94,MATCH(1,(B352='Crosswalk '!$B$9:$B$94)*(E352='Crosswalk '!$G$9:$G$94),0)),"")</f>
        <v/>
      </c>
      <c r="E352" s="291" t="str">
        <f t="array" ref="E352">IFERROR(INDEX('Crosswalk '!$E$106:$E$125,MATCH(1,($A$339='Crosswalk '!$D$106:$D$125)*($C352='Crosswalk '!$F$106:$F$125),0)),"")</f>
        <v/>
      </c>
      <c r="F352" s="485"/>
      <c r="G352" s="185"/>
      <c r="H352" s="159" t="str">
        <f t="array" ref="H352">IFERROR(INDEX('Crosswalk '!$E$9:$E$103,MATCH(1,($B352='Crosswalk '!$B$9:$B$103)*($E352='Crosswalk '!$G$9:$G$103),0)),"")</f>
        <v/>
      </c>
      <c r="I352" s="125">
        <f t="shared" si="163"/>
        <v>0</v>
      </c>
      <c r="J352" s="126" t="str">
        <f t="shared" si="164"/>
        <v/>
      </c>
      <c r="K352" s="200">
        <f t="shared" si="165"/>
        <v>0</v>
      </c>
      <c r="L352" s="294">
        <f t="shared" si="168"/>
        <v>0</v>
      </c>
      <c r="M352" s="294">
        <f t="shared" si="166"/>
        <v>0</v>
      </c>
      <c r="N352" s="186">
        <f t="shared" si="167"/>
        <v>0</v>
      </c>
      <c r="O352" s="201" t="str">
        <f>IFERROR(ROUND(N352/'Direct Prof Sal &amp; Fringes  '!$L$8,8),"")</f>
        <v/>
      </c>
      <c r="P352" s="186" t="str">
        <f>IF(ISBLANK(O352),"",IFERROR(ROUND(O352*' Indirect Non-prof Sal &amp; Fringe'!$M$42,0),""))</f>
        <v/>
      </c>
      <c r="Q352" s="186" t="str">
        <f>IF(ISBLANK(O352),"",IFERROR(ROUND(O352*'Direct and Indirect Expenses'!$K$20,0),""))</f>
        <v/>
      </c>
      <c r="R352" s="309">
        <f>IFERROR(SUMIF('Direct and Indirect Expenses'!$B$14:$B$34,'Financial Summary &amp; Stats'!B352,'Direct and Indirect Expenses'!$H$14:$H$34)*N352/SUMIF('Financial Summary &amp; Stats'!$B:$B,'Financial Summary &amp; Stats'!B352,'Financial Summary &amp; Stats'!$N:$N),0)</f>
        <v>0</v>
      </c>
      <c r="S352" s="595"/>
      <c r="T352" s="202">
        <f>IFERROR(IF('Direct and Indirect Expenses'!$A$9="Other Indirect Allocation Method",(ROUND((N352+P352)/($N$8+$P$8)*'Direct and Indirect Expenses'!$C$9,0)),ROUND((N352+P352)*'Direct and Indirect Expenses'!$B$9,0)),0)</f>
        <v>0</v>
      </c>
      <c r="U352" s="202">
        <f t="shared" si="169"/>
        <v>0</v>
      </c>
      <c r="V352" s="293" t="str">
        <f t="shared" si="170"/>
        <v/>
      </c>
      <c r="Y352" s="128"/>
    </row>
    <row r="353" spans="1:25" ht="20.100000000000001" customHeight="1" x14ac:dyDescent="0.2">
      <c r="A353" s="116" t="s">
        <v>72</v>
      </c>
      <c r="B353" s="122">
        <v>90853</v>
      </c>
      <c r="C353" s="122"/>
      <c r="D353" s="123" t="str">
        <f t="array" ref="D353">IFERROR(INDEX('Crosswalk '!$C$9:$C$94,MATCH(1,(B353='Crosswalk '!$B$9:$B$94)*(E353='Crosswalk '!$G$9:$G$94),0)),"")</f>
        <v/>
      </c>
      <c r="E353" s="291" t="str">
        <f t="array" ref="E353">IFERROR(INDEX('Crosswalk '!$E$106:$E$125,MATCH(1,($A$339='Crosswalk '!$D$106:$D$125)*($C353='Crosswalk '!$F$106:$F$125),0)),"")</f>
        <v/>
      </c>
      <c r="F353" s="485"/>
      <c r="G353" s="486"/>
      <c r="H353" s="159" t="str">
        <f t="array" ref="H353">IFERROR(INDEX('Crosswalk '!$E$9:$E$103,MATCH(1,($B353='Crosswalk '!$B$9:$B$103)*($E353='Crosswalk '!$G$9:$G$103),0)),"")</f>
        <v/>
      </c>
      <c r="I353" s="166"/>
      <c r="J353" s="126" t="str">
        <f t="shared" si="164"/>
        <v/>
      </c>
      <c r="K353" s="200">
        <f t="shared" si="165"/>
        <v>0</v>
      </c>
      <c r="L353" s="294">
        <f t="shared" si="168"/>
        <v>0</v>
      </c>
      <c r="M353" s="294">
        <f t="shared" si="166"/>
        <v>0</v>
      </c>
      <c r="N353" s="186">
        <f t="shared" si="167"/>
        <v>0</v>
      </c>
      <c r="O353" s="201" t="str">
        <f>IFERROR(ROUND(N353/'Direct Prof Sal &amp; Fringes  '!$L$8,8),"")</f>
        <v/>
      </c>
      <c r="P353" s="186" t="str">
        <f>IF(ISBLANK(O353),"",IFERROR(ROUND(O353*' Indirect Non-prof Sal &amp; Fringe'!$M$42,0),""))</f>
        <v/>
      </c>
      <c r="Q353" s="186" t="str">
        <f>IF(ISBLANK(O353),"",IFERROR(ROUND(O353*'Direct and Indirect Expenses'!$K$20,0),""))</f>
        <v/>
      </c>
      <c r="R353" s="309">
        <f>IFERROR(SUMIF('Direct and Indirect Expenses'!$B$14:$B$34,'Financial Summary &amp; Stats'!B353,'Direct and Indirect Expenses'!$H$14:$H$34)*N353/SUMIF('Financial Summary &amp; Stats'!$B:$B,'Financial Summary &amp; Stats'!B353,'Financial Summary &amp; Stats'!$N:$N),0)</f>
        <v>0</v>
      </c>
      <c r="S353" s="595"/>
      <c r="T353" s="202">
        <f>IFERROR(IF('Direct and Indirect Expenses'!$A$9="Other Indirect Allocation Method",(ROUND((N353+P353)/($N$8+$P$8)*'Direct and Indirect Expenses'!$C$9,0)),ROUND((N353+P353)*'Direct and Indirect Expenses'!$B$9,0)),0)</f>
        <v>0</v>
      </c>
      <c r="U353" s="202">
        <f t="shared" si="169"/>
        <v>0</v>
      </c>
      <c r="V353" s="293" t="str">
        <f t="shared" si="170"/>
        <v/>
      </c>
      <c r="Y353" s="128"/>
    </row>
    <row r="354" spans="1:25" ht="20.100000000000001" customHeight="1" x14ac:dyDescent="0.2">
      <c r="A354" s="116" t="s">
        <v>127</v>
      </c>
      <c r="B354" s="122">
        <v>90832</v>
      </c>
      <c r="C354" s="122"/>
      <c r="D354" s="123" t="str">
        <f t="array" ref="D354">IFERROR(INDEX('Crosswalk '!$C$9:$C$94,MATCH(1,(B354='Crosswalk '!$B$9:$B$94)*(E354='Crosswalk '!$G$9:$G$94),0)),"")</f>
        <v/>
      </c>
      <c r="E354" s="291" t="str">
        <f t="array" ref="E354">IFERROR(INDEX('Crosswalk '!$E$106:$E$125,MATCH(1,($A$339='Crosswalk '!$D$106:$D$125)*($C354='Crosswalk '!$F$106:$F$125),0)),"")</f>
        <v/>
      </c>
      <c r="F354" s="485"/>
      <c r="G354" s="181"/>
      <c r="H354" s="159" t="str">
        <f t="array" ref="H354">IFERROR(INDEX('Crosswalk '!$E$9:$E$103,MATCH(1,($B354='Crosswalk '!$B$9:$B$103)*($E354='Crosswalk '!$G$9:$G$103),0)),"")</f>
        <v/>
      </c>
      <c r="I354" s="125">
        <f t="shared" ref="I354:I361" si="171">IFERROR(ROUND(F354*H354,2),0)</f>
        <v>0</v>
      </c>
      <c r="J354" s="126" t="str">
        <f t="shared" si="164"/>
        <v/>
      </c>
      <c r="K354" s="200">
        <f t="shared" si="165"/>
        <v>0</v>
      </c>
      <c r="L354" s="294">
        <f t="shared" si="168"/>
        <v>0</v>
      </c>
      <c r="M354" s="294">
        <f t="shared" si="166"/>
        <v>0</v>
      </c>
      <c r="N354" s="186">
        <f t="shared" si="167"/>
        <v>0</v>
      </c>
      <c r="O354" s="201" t="str">
        <f>IFERROR(ROUND(N354/'Direct Prof Sal &amp; Fringes  '!$L$8,8),"")</f>
        <v/>
      </c>
      <c r="P354" s="186" t="str">
        <f>IF(ISBLANK(O354),"",IFERROR(ROUND(O354*' Indirect Non-prof Sal &amp; Fringe'!$M$42,0),""))</f>
        <v/>
      </c>
      <c r="Q354" s="186" t="str">
        <f>IF(ISBLANK(O354),"",IFERROR(ROUND(O354*'Direct and Indirect Expenses'!$K$20,0),""))</f>
        <v/>
      </c>
      <c r="R354" s="309">
        <f>IFERROR(SUMIF('Direct and Indirect Expenses'!$B$14:$B$34,'Financial Summary &amp; Stats'!B354,'Direct and Indirect Expenses'!$H$14:$H$34)*N354/SUMIF('Financial Summary &amp; Stats'!$B:$B,'Financial Summary &amp; Stats'!B354,'Financial Summary &amp; Stats'!$N:$N),0)</f>
        <v>0</v>
      </c>
      <c r="S354" s="595"/>
      <c r="T354" s="202">
        <f>IFERROR(IF('Direct and Indirect Expenses'!$A$9="Other Indirect Allocation Method",(ROUND((N354+P354)/($N$8+$P$8)*'Direct and Indirect Expenses'!$C$9,0)),ROUND((N354+P354)*'Direct and Indirect Expenses'!$B$9,0)),0)</f>
        <v>0</v>
      </c>
      <c r="U354" s="202">
        <f t="shared" si="169"/>
        <v>0</v>
      </c>
      <c r="V354" s="293" t="str">
        <f t="shared" si="170"/>
        <v/>
      </c>
      <c r="Y354" s="128"/>
    </row>
    <row r="355" spans="1:25" ht="20.100000000000001" customHeight="1" x14ac:dyDescent="0.2">
      <c r="A355" s="116" t="s">
        <v>128</v>
      </c>
      <c r="B355" s="122">
        <v>90834</v>
      </c>
      <c r="C355" s="122"/>
      <c r="D355" s="123" t="str">
        <f t="array" ref="D355">IFERROR(INDEX('Crosswalk '!$C$9:$C$94,MATCH(1,(B355='Crosswalk '!$B$9:$B$94)*(E355='Crosswalk '!$G$9:$G$94),0)),"")</f>
        <v/>
      </c>
      <c r="E355" s="291" t="str">
        <f t="array" ref="E355">IFERROR(INDEX('Crosswalk '!$E$106:$E$125,MATCH(1,($A$339='Crosswalk '!$D$106:$D$125)*($C355='Crosswalk '!$F$106:$F$125),0)),"")</f>
        <v/>
      </c>
      <c r="F355" s="485"/>
      <c r="G355" s="181"/>
      <c r="H355" s="159" t="str">
        <f t="array" ref="H355">IFERROR(INDEX('Crosswalk '!$E$9:$E$103,MATCH(1,($B355='Crosswalk '!$B$9:$B$103)*($E355='Crosswalk '!$G$9:$G$103),0)),"")</f>
        <v/>
      </c>
      <c r="I355" s="125">
        <f t="shared" si="171"/>
        <v>0</v>
      </c>
      <c r="J355" s="126" t="str">
        <f t="shared" si="164"/>
        <v/>
      </c>
      <c r="K355" s="200">
        <f t="shared" si="165"/>
        <v>0</v>
      </c>
      <c r="L355" s="294">
        <f t="shared" si="168"/>
        <v>0</v>
      </c>
      <c r="M355" s="294">
        <f t="shared" si="166"/>
        <v>0</v>
      </c>
      <c r="N355" s="186">
        <f t="shared" si="167"/>
        <v>0</v>
      </c>
      <c r="O355" s="201" t="str">
        <f>IFERROR(ROUND(N355/'Direct Prof Sal &amp; Fringes  '!$L$8,8),"")</f>
        <v/>
      </c>
      <c r="P355" s="186" t="str">
        <f>IF(ISBLANK(O355),"",IFERROR(ROUND(O355*' Indirect Non-prof Sal &amp; Fringe'!$M$42,0),""))</f>
        <v/>
      </c>
      <c r="Q355" s="186" t="str">
        <f>IF(ISBLANK(O355),"",IFERROR(ROUND(O355*'Direct and Indirect Expenses'!$K$20,0),""))</f>
        <v/>
      </c>
      <c r="R355" s="309">
        <f>IFERROR(SUMIF('Direct and Indirect Expenses'!$B$14:$B$34,'Financial Summary &amp; Stats'!B355,'Direct and Indirect Expenses'!$H$14:$H$34)*N355/SUMIF('Financial Summary &amp; Stats'!$B:$B,'Financial Summary &amp; Stats'!B355,'Financial Summary &amp; Stats'!$N:$N),0)</f>
        <v>0</v>
      </c>
      <c r="S355" s="595"/>
      <c r="T355" s="202">
        <f>IFERROR(IF('Direct and Indirect Expenses'!$A$9="Other Indirect Allocation Method",(ROUND((N355+P355)/($N$8+$P$8)*'Direct and Indirect Expenses'!$C$9,0)),ROUND((N355+P355)*'Direct and Indirect Expenses'!$B$9,0)),0)</f>
        <v>0</v>
      </c>
      <c r="U355" s="202">
        <f t="shared" si="169"/>
        <v>0</v>
      </c>
      <c r="V355" s="293" t="str">
        <f t="shared" si="170"/>
        <v/>
      </c>
      <c r="Y355" s="128"/>
    </row>
    <row r="356" spans="1:25" ht="20.100000000000001" customHeight="1" x14ac:dyDescent="0.2">
      <c r="A356" s="116" t="s">
        <v>129</v>
      </c>
      <c r="B356" s="122">
        <v>90837</v>
      </c>
      <c r="C356" s="122"/>
      <c r="D356" s="123" t="str">
        <f t="array" ref="D356">IFERROR(INDEX('Crosswalk '!$C$9:$C$94,MATCH(1,(B356='Crosswalk '!$B$9:$B$94)*(E356='Crosswalk '!$G$9:$G$94),0)),"")</f>
        <v/>
      </c>
      <c r="E356" s="291" t="str">
        <f t="array" ref="E356">IFERROR(INDEX('Crosswalk '!$E$106:$E$125,MATCH(1,($A$339='Crosswalk '!$D$106:$D$125)*($C356='Crosswalk '!$F$106:$F$125),0)),"")</f>
        <v/>
      </c>
      <c r="F356" s="485"/>
      <c r="G356" s="181"/>
      <c r="H356" s="159" t="str">
        <f t="array" ref="H356">IFERROR(INDEX('Crosswalk '!$E$9:$E$103,MATCH(1,($B356='Crosswalk '!$B$9:$B$103)*($E356='Crosswalk '!$G$9:$G$103),0)),"")</f>
        <v/>
      </c>
      <c r="I356" s="125">
        <f t="shared" si="171"/>
        <v>0</v>
      </c>
      <c r="J356" s="126" t="str">
        <f t="shared" si="164"/>
        <v/>
      </c>
      <c r="K356" s="200">
        <f t="shared" si="165"/>
        <v>0</v>
      </c>
      <c r="L356" s="294">
        <f t="shared" si="168"/>
        <v>0</v>
      </c>
      <c r="M356" s="294">
        <f t="shared" si="166"/>
        <v>0</v>
      </c>
      <c r="N356" s="186">
        <f t="shared" si="167"/>
        <v>0</v>
      </c>
      <c r="O356" s="201" t="str">
        <f>IFERROR(ROUND(N356/'Direct Prof Sal &amp; Fringes  '!$L$8,8),"")</f>
        <v/>
      </c>
      <c r="P356" s="186" t="str">
        <f>IF(ISBLANK(O356),"",IFERROR(ROUND(O356*' Indirect Non-prof Sal &amp; Fringe'!$M$42,0),""))</f>
        <v/>
      </c>
      <c r="Q356" s="186" t="str">
        <f>IF(ISBLANK(O356),"",IFERROR(ROUND(O356*'Direct and Indirect Expenses'!$K$20,0),""))</f>
        <v/>
      </c>
      <c r="R356" s="309">
        <f>IFERROR(SUMIF('Direct and Indirect Expenses'!$B$14:$B$34,'Financial Summary &amp; Stats'!B356,'Direct and Indirect Expenses'!$H$14:$H$34)*N356/SUMIF('Financial Summary &amp; Stats'!$B:$B,'Financial Summary &amp; Stats'!B356,'Financial Summary &amp; Stats'!$N:$N),0)</f>
        <v>0</v>
      </c>
      <c r="S356" s="595"/>
      <c r="T356" s="202">
        <f>IFERROR(IF('Direct and Indirect Expenses'!$A$9="Other Indirect Allocation Method",(ROUND((N356+P356)/($N$8+$P$8)*'Direct and Indirect Expenses'!$C$9,0)),ROUND((N356+P356)*'Direct and Indirect Expenses'!$B$9,0)),0)</f>
        <v>0</v>
      </c>
      <c r="U356" s="202">
        <f t="shared" si="169"/>
        <v>0</v>
      </c>
      <c r="V356" s="293" t="str">
        <f t="shared" si="170"/>
        <v/>
      </c>
      <c r="Y356" s="128"/>
    </row>
    <row r="357" spans="1:25" ht="20.100000000000001" customHeight="1" x14ac:dyDescent="0.2">
      <c r="A357" s="116" t="s">
        <v>114</v>
      </c>
      <c r="B357" s="122" t="s">
        <v>113</v>
      </c>
      <c r="C357" s="122"/>
      <c r="D357" s="123" t="str">
        <f t="array" ref="D357">IFERROR(INDEX('Crosswalk '!$C$9:$C$94,MATCH(1,(B357='Crosswalk '!$B$9:$B$94)*(E357='Crosswalk '!$G$9:$G$94),0)),"")</f>
        <v/>
      </c>
      <c r="E357" s="291" t="str">
        <f t="array" ref="E357">IFERROR(INDEX('Crosswalk '!$E$106:$E$125,MATCH(1,($A$339='Crosswalk '!$D$106:$D$125)*($C357='Crosswalk '!$F$106:$F$125),0)),"")</f>
        <v/>
      </c>
      <c r="F357" s="485"/>
      <c r="G357" s="181"/>
      <c r="H357" s="159" t="str">
        <f t="array" ref="H357">IFERROR(INDEX('Crosswalk '!$E$9:$E$103,MATCH(1,($B357='Crosswalk '!$B$9:$B$103)*($E357='Crosswalk '!$G$9:$G$103),0)),"")</f>
        <v/>
      </c>
      <c r="I357" s="125">
        <f t="shared" si="171"/>
        <v>0</v>
      </c>
      <c r="J357" s="126" t="str">
        <f t="shared" si="164"/>
        <v/>
      </c>
      <c r="K357" s="200">
        <f t="shared" si="165"/>
        <v>0</v>
      </c>
      <c r="L357" s="294">
        <f t="shared" si="168"/>
        <v>0</v>
      </c>
      <c r="M357" s="294">
        <f t="shared" si="166"/>
        <v>0</v>
      </c>
      <c r="N357" s="186">
        <f t="shared" si="167"/>
        <v>0</v>
      </c>
      <c r="O357" s="201" t="str">
        <f>IFERROR(ROUND(N357/'Direct Prof Sal &amp; Fringes  '!$L$8,8),"")</f>
        <v/>
      </c>
      <c r="P357" s="186" t="str">
        <f>IF(ISBLANK(O357),"",IFERROR(ROUND(O357*' Indirect Non-prof Sal &amp; Fringe'!$M$42,0),""))</f>
        <v/>
      </c>
      <c r="Q357" s="186" t="str">
        <f>IF(ISBLANK(O357),"",IFERROR(ROUND(O357*'Direct and Indirect Expenses'!$K$20,0),""))</f>
        <v/>
      </c>
      <c r="R357" s="309">
        <f>IFERROR(SUMIF('Direct and Indirect Expenses'!$B$14:$B$34,'Financial Summary &amp; Stats'!B357,'Direct and Indirect Expenses'!$H$14:$H$34)*N357/SUMIF('Financial Summary &amp; Stats'!$B:$B,'Financial Summary &amp; Stats'!B357,'Financial Summary &amp; Stats'!$N:$N),0)</f>
        <v>0</v>
      </c>
      <c r="S357" s="595"/>
      <c r="T357" s="202">
        <f>IFERROR(IF('Direct and Indirect Expenses'!$A$9="Other Indirect Allocation Method",(ROUND((N357+P357)/($N$8+$P$8)*'Direct and Indirect Expenses'!$C$9,0)),ROUND((N357+P357)*'Direct and Indirect Expenses'!$B$9,0)),0)</f>
        <v>0</v>
      </c>
      <c r="U357" s="202">
        <f t="shared" si="169"/>
        <v>0</v>
      </c>
      <c r="V357" s="293" t="str">
        <f t="shared" si="170"/>
        <v/>
      </c>
      <c r="Y357" s="128"/>
    </row>
    <row r="358" spans="1:25" ht="20.100000000000001" customHeight="1" x14ac:dyDescent="0.2">
      <c r="A358" s="116" t="s">
        <v>130</v>
      </c>
      <c r="B358" s="122">
        <v>90849</v>
      </c>
      <c r="C358" s="122"/>
      <c r="D358" s="123" t="str">
        <f t="array" ref="D358">IFERROR(INDEX('Crosswalk '!$C$9:$C$94,MATCH(1,(B358='Crosswalk '!$B$9:$B$94)*(E358='Crosswalk '!$G$9:$G$94),0)),"")</f>
        <v/>
      </c>
      <c r="E358" s="291" t="str">
        <f t="array" ref="E358">IFERROR(INDEX('Crosswalk '!$E$106:$E$125,MATCH(1,($A$339='Crosswalk '!$D$106:$D$125)*($C358='Crosswalk '!$F$106:$F$125),0)),"")</f>
        <v/>
      </c>
      <c r="F358" s="485"/>
      <c r="G358" s="181"/>
      <c r="H358" s="159" t="str">
        <f t="array" ref="H358">IFERROR(INDEX('Crosswalk '!$E$9:$E$103,MATCH(1,($B358='Crosswalk '!$B$9:$B$103)*($E358='Crosswalk '!$G$9:$G$103),0)),"")</f>
        <v/>
      </c>
      <c r="I358" s="125">
        <f t="shared" si="171"/>
        <v>0</v>
      </c>
      <c r="J358" s="126" t="str">
        <f t="shared" si="164"/>
        <v/>
      </c>
      <c r="K358" s="200">
        <f t="shared" si="165"/>
        <v>0</v>
      </c>
      <c r="L358" s="294">
        <f t="shared" si="168"/>
        <v>0</v>
      </c>
      <c r="M358" s="294">
        <f t="shared" si="166"/>
        <v>0</v>
      </c>
      <c r="N358" s="186">
        <f t="shared" si="167"/>
        <v>0</v>
      </c>
      <c r="O358" s="201" t="str">
        <f>IFERROR(ROUND(N358/'Direct Prof Sal &amp; Fringes  '!$L$8,8),"")</f>
        <v/>
      </c>
      <c r="P358" s="186" t="str">
        <f>IF(ISBLANK(O358),"",IFERROR(ROUND(O358*' Indirect Non-prof Sal &amp; Fringe'!$M$42,0),""))</f>
        <v/>
      </c>
      <c r="Q358" s="186" t="str">
        <f>IF(ISBLANK(O358),"",IFERROR(ROUND(O358*'Direct and Indirect Expenses'!$K$20,0),""))</f>
        <v/>
      </c>
      <c r="R358" s="309">
        <f>IFERROR(SUMIF('Direct and Indirect Expenses'!$B$14:$B$34,'Financial Summary &amp; Stats'!B358,'Direct and Indirect Expenses'!$H$14:$H$34)*N358/SUMIF('Financial Summary &amp; Stats'!$B:$B,'Financial Summary &amp; Stats'!B358,'Financial Summary &amp; Stats'!$N:$N),0)</f>
        <v>0</v>
      </c>
      <c r="S358" s="595"/>
      <c r="T358" s="202">
        <f>IFERROR(IF('Direct and Indirect Expenses'!$A$9="Other Indirect Allocation Method",(ROUND((N358+P358)/($N$8+$P$8)*'Direct and Indirect Expenses'!$C$9,0)),ROUND((N358+P358)*'Direct and Indirect Expenses'!$B$9,0)),0)</f>
        <v>0</v>
      </c>
      <c r="U358" s="202">
        <f t="shared" si="169"/>
        <v>0</v>
      </c>
      <c r="V358" s="293" t="str">
        <f t="shared" si="170"/>
        <v/>
      </c>
      <c r="Y358" s="128"/>
    </row>
    <row r="359" spans="1:25" ht="20.100000000000001" customHeight="1" x14ac:dyDescent="0.2">
      <c r="A359" s="116" t="s">
        <v>83</v>
      </c>
      <c r="B359" s="122" t="s">
        <v>84</v>
      </c>
      <c r="C359" s="122"/>
      <c r="D359" s="123">
        <f t="array" ref="D359">IFERROR(INDEX('Crosswalk '!$C$9:$C$94,MATCH(1,(B359='Crosswalk '!$B$9:$B$94)*(E359='Crosswalk '!$G$9:$G$94),0)),"")</f>
        <v>0</v>
      </c>
      <c r="E359" s="291" t="str">
        <f t="array" ref="E359">IFERROR(INDEX('Crosswalk '!$E$106:$E$125,MATCH(1,($A$339='Crosswalk '!$D$106:$D$125)*($C359='Crosswalk '!$F$106:$F$125),0)),"")</f>
        <v/>
      </c>
      <c r="F359" s="485"/>
      <c r="G359" s="181"/>
      <c r="H359" s="159">
        <f t="array" ref="H359">IFERROR(INDEX('Crosswalk '!$E$9:$E$103,MATCH(1,($B359='Crosswalk '!$B$9:$B$103)*($E359='Crosswalk '!$G$9:$G$103),0)),"")</f>
        <v>0.25</v>
      </c>
      <c r="I359" s="125">
        <f t="shared" si="171"/>
        <v>0</v>
      </c>
      <c r="J359" s="126">
        <f t="shared" si="164"/>
        <v>0</v>
      </c>
      <c r="K359" s="200">
        <f t="shared" si="165"/>
        <v>0</v>
      </c>
      <c r="L359" s="294">
        <f t="shared" si="168"/>
        <v>0</v>
      </c>
      <c r="M359" s="294">
        <f t="shared" si="166"/>
        <v>0</v>
      </c>
      <c r="N359" s="186">
        <f t="shared" si="167"/>
        <v>0</v>
      </c>
      <c r="O359" s="201" t="str">
        <f>IFERROR(ROUND(N359/'Direct Prof Sal &amp; Fringes  '!$L$8,8),"")</f>
        <v/>
      </c>
      <c r="P359" s="186" t="str">
        <f>IF(ISBLANK(O359),"",IFERROR(ROUND(O359*' Indirect Non-prof Sal &amp; Fringe'!$M$42,0),""))</f>
        <v/>
      </c>
      <c r="Q359" s="186" t="str">
        <f>IF(ISBLANK(O359),"",IFERROR(ROUND(O359*'Direct and Indirect Expenses'!$K$20,0),""))</f>
        <v/>
      </c>
      <c r="R359" s="309">
        <f>IFERROR(SUMIF('Direct and Indirect Expenses'!$B$14:$B$34,'Financial Summary &amp; Stats'!B359,'Direct and Indirect Expenses'!$H$14:$H$34)*N359/SUMIF('Financial Summary &amp; Stats'!$B:$B,'Financial Summary &amp; Stats'!B359,'Financial Summary &amp; Stats'!$N:$N),0)</f>
        <v>0</v>
      </c>
      <c r="S359" s="595"/>
      <c r="T359" s="202">
        <f>IFERROR(IF('Direct and Indirect Expenses'!$A$9="Other Indirect Allocation Method",(ROUND((N359+P359)/($N$8+$P$8)*'Direct and Indirect Expenses'!$C$9,0)),ROUND((N359+P359)*'Direct and Indirect Expenses'!$B$9,0)),0)</f>
        <v>0</v>
      </c>
      <c r="U359" s="202">
        <f t="shared" si="169"/>
        <v>0</v>
      </c>
      <c r="V359" s="293" t="str">
        <f t="shared" si="170"/>
        <v/>
      </c>
      <c r="Y359" s="128"/>
    </row>
    <row r="360" spans="1:25" ht="20.100000000000001" customHeight="1" x14ac:dyDescent="0.2">
      <c r="A360" s="116" t="s">
        <v>132</v>
      </c>
      <c r="B360" s="122">
        <v>90792</v>
      </c>
      <c r="C360" s="122"/>
      <c r="D360" s="123" t="str">
        <f t="array" ref="D360">IFERROR(INDEX('Crosswalk '!$C$9:$C$94,MATCH(1,(B360='Crosswalk '!$B$9:$B$94)*(E360='Crosswalk '!$G$9:$G$94),0)),"")</f>
        <v/>
      </c>
      <c r="E360" s="291" t="str">
        <f t="array" ref="E360">IFERROR(INDEX('Crosswalk '!$E$106:$E$125,MATCH(1,($A$339='Crosswalk '!$D$106:$D$125)*($C360='Crosswalk '!$F$106:$F$125),0)),"")</f>
        <v/>
      </c>
      <c r="F360" s="485"/>
      <c r="G360" s="181"/>
      <c r="H360" s="159" t="str">
        <f t="array" ref="H360">IFERROR(INDEX('Crosswalk '!$E$9:$E$103,MATCH(1,($B360='Crosswalk '!$B$9:$B$103)*($E360='Crosswalk '!$G$9:$G$103),0)),"")</f>
        <v/>
      </c>
      <c r="I360" s="125">
        <f t="shared" si="171"/>
        <v>0</v>
      </c>
      <c r="J360" s="126" t="str">
        <f t="shared" si="164"/>
        <v/>
      </c>
      <c r="K360" s="200">
        <f t="shared" si="165"/>
        <v>0</v>
      </c>
      <c r="L360" s="294">
        <f t="shared" si="168"/>
        <v>0</v>
      </c>
      <c r="M360" s="294">
        <f t="shared" si="166"/>
        <v>0</v>
      </c>
      <c r="N360" s="186">
        <f t="shared" si="167"/>
        <v>0</v>
      </c>
      <c r="O360" s="201" t="str">
        <f>IFERROR(ROUND(N360/'Direct Prof Sal &amp; Fringes  '!$L$8,8),"")</f>
        <v/>
      </c>
      <c r="P360" s="186" t="str">
        <f>IF(ISBLANK(O360),"",IFERROR(ROUND(O360*' Indirect Non-prof Sal &amp; Fringe'!$M$42,0),""))</f>
        <v/>
      </c>
      <c r="Q360" s="186" t="str">
        <f>IF(ISBLANK(O360),"",IFERROR(ROUND(O360*'Direct and Indirect Expenses'!$K$20,0),""))</f>
        <v/>
      </c>
      <c r="R360" s="309">
        <f>IFERROR(SUMIF('Direct and Indirect Expenses'!$B$14:$B$34,'Financial Summary &amp; Stats'!B360,'Direct and Indirect Expenses'!$H$14:$H$34)*N360/SUMIF('Financial Summary &amp; Stats'!$B:$B,'Financial Summary &amp; Stats'!B360,'Financial Summary &amp; Stats'!$N:$N),0)</f>
        <v>0</v>
      </c>
      <c r="S360" s="595"/>
      <c r="T360" s="202">
        <f>IFERROR(IF('Direct and Indirect Expenses'!$A$9="Other Indirect Allocation Method",(ROUND((N360+P360)/($N$8+$P$8)*'Direct and Indirect Expenses'!$C$9,0)),ROUND((N360+P360)*'Direct and Indirect Expenses'!$B$9,0)),0)</f>
        <v>0</v>
      </c>
      <c r="U360" s="202">
        <f t="shared" si="169"/>
        <v>0</v>
      </c>
      <c r="V360" s="293" t="str">
        <f t="shared" si="170"/>
        <v/>
      </c>
      <c r="Y360" s="128"/>
    </row>
    <row r="361" spans="1:25" ht="20.100000000000001" customHeight="1" x14ac:dyDescent="0.2">
      <c r="A361" s="116" t="s">
        <v>131</v>
      </c>
      <c r="B361" s="122">
        <v>90791</v>
      </c>
      <c r="C361" s="122"/>
      <c r="D361" s="123" t="str">
        <f t="array" ref="D361">IFERROR(INDEX('Crosswalk '!$C$9:$C$94,MATCH(1,(B361='Crosswalk '!$B$9:$B$94)*(E361='Crosswalk '!$G$9:$G$94),0)),"")</f>
        <v/>
      </c>
      <c r="E361" s="291" t="str">
        <f t="array" ref="E361">IFERROR(INDEX('Crosswalk '!$E$106:$E$125,MATCH(1,($A$339='Crosswalk '!$D$106:$D$125)*($C361='Crosswalk '!$F$106:$F$125),0)),"")</f>
        <v/>
      </c>
      <c r="F361" s="485"/>
      <c r="G361" s="181"/>
      <c r="H361" s="159" t="str">
        <f t="array" ref="H361">IFERROR(INDEX('Crosswalk '!$E$9:$E$103,MATCH(1,($B361='Crosswalk '!$B$9:$B$103)*($E361='Crosswalk '!$G$9:$G$103),0)),"")</f>
        <v/>
      </c>
      <c r="I361" s="125">
        <f t="shared" si="171"/>
        <v>0</v>
      </c>
      <c r="J361" s="126" t="str">
        <f t="shared" si="164"/>
        <v/>
      </c>
      <c r="K361" s="200">
        <f t="shared" si="165"/>
        <v>0</v>
      </c>
      <c r="L361" s="294">
        <f t="shared" si="168"/>
        <v>0</v>
      </c>
      <c r="M361" s="294">
        <f t="shared" si="166"/>
        <v>0</v>
      </c>
      <c r="N361" s="186">
        <f t="shared" si="167"/>
        <v>0</v>
      </c>
      <c r="O361" s="201" t="str">
        <f>IFERROR(ROUND(N361/'Direct Prof Sal &amp; Fringes  '!$L$8,8),"")</f>
        <v/>
      </c>
      <c r="P361" s="186" t="str">
        <f>IF(ISBLANK(O361),"",IFERROR(ROUND(O361*' Indirect Non-prof Sal &amp; Fringe'!$M$42,0),""))</f>
        <v/>
      </c>
      <c r="Q361" s="186" t="str">
        <f>IF(ISBLANK(O361),"",IFERROR(ROUND(O361*'Direct and Indirect Expenses'!$K$20,0),""))</f>
        <v/>
      </c>
      <c r="R361" s="309">
        <f>IFERROR(SUMIF('Direct and Indirect Expenses'!$B$14:$B$34,'Financial Summary &amp; Stats'!B361,'Direct and Indirect Expenses'!$H$14:$H$34)*N361/SUMIF('Financial Summary &amp; Stats'!$B:$B,'Financial Summary &amp; Stats'!B361,'Financial Summary &amp; Stats'!$N:$N),0)</f>
        <v>0</v>
      </c>
      <c r="S361" s="595"/>
      <c r="T361" s="202">
        <f>IFERROR(IF('Direct and Indirect Expenses'!$A$9="Other Indirect Allocation Method",(ROUND((N361+P361)/($N$8+$P$8)*'Direct and Indirect Expenses'!$C$9,0)),ROUND((N361+P361)*'Direct and Indirect Expenses'!$B$9,0)),0)</f>
        <v>0</v>
      </c>
      <c r="U361" s="202">
        <f t="shared" si="169"/>
        <v>0</v>
      </c>
      <c r="V361" s="293" t="str">
        <f t="shared" si="170"/>
        <v/>
      </c>
      <c r="Y361" s="128"/>
    </row>
    <row r="362" spans="1:25" ht="20.100000000000001" customHeight="1" x14ac:dyDescent="0.2">
      <c r="A362" s="116" t="s">
        <v>116</v>
      </c>
      <c r="B362" s="122" t="s">
        <v>85</v>
      </c>
      <c r="C362" s="122" t="s">
        <v>195</v>
      </c>
      <c r="D362" s="123" t="str">
        <f t="array" ref="D362">IFERROR(INDEX('Crosswalk '!$C$9:$C$94,MATCH(1,(B362='Crosswalk '!$B$9:$B$94)*(E362='Crosswalk '!$G$9:$G$94),0)),"")</f>
        <v/>
      </c>
      <c r="E362" s="291" t="str">
        <f t="array" ref="E362">IFERROR(INDEX('Crosswalk '!$E$106:$E$125,MATCH(1,($A$339='Crosswalk '!$D$106:$D$125)*($C362='Crosswalk '!$F$106:$F$125),0)),"")</f>
        <v/>
      </c>
      <c r="F362" s="485"/>
      <c r="G362" s="181"/>
      <c r="H362" s="159" t="str">
        <f t="array" ref="H362">IFERROR(INDEX('Crosswalk '!$E$9:$E$103,MATCH(1,($B362='Crosswalk '!$B$9:$B$103)*($E362='Crosswalk '!$G$9:$G$103),0)),"")</f>
        <v/>
      </c>
      <c r="I362" s="125"/>
      <c r="J362" s="126" t="str">
        <f t="shared" si="164"/>
        <v/>
      </c>
      <c r="K362" s="200">
        <f t="shared" si="165"/>
        <v>0</v>
      </c>
      <c r="L362" s="294">
        <f t="shared" si="168"/>
        <v>0</v>
      </c>
      <c r="M362" s="294">
        <f t="shared" si="166"/>
        <v>0</v>
      </c>
      <c r="N362" s="186">
        <f t="shared" si="167"/>
        <v>0</v>
      </c>
      <c r="O362" s="201" t="str">
        <f>IFERROR(ROUND(N362/'Direct Prof Sal &amp; Fringes  '!$L$8,8),"")</f>
        <v/>
      </c>
      <c r="P362" s="186" t="str">
        <f>IF(ISBLANK(O362),"",IFERROR(ROUND(O362*' Indirect Non-prof Sal &amp; Fringe'!$M$42,0),""))</f>
        <v/>
      </c>
      <c r="Q362" s="186" t="str">
        <f>IF(ISBLANK(O362),"",IFERROR(ROUND(O362*'Direct and Indirect Expenses'!$K$20,0),""))</f>
        <v/>
      </c>
      <c r="R362" s="309">
        <f>IFERROR(SUMIF('Direct and Indirect Expenses'!$B$14:$B$34,'Financial Summary &amp; Stats'!B362,'Direct and Indirect Expenses'!$H$14:$H$34)*N362/SUMIF('Financial Summary &amp; Stats'!$B:$B,'Financial Summary &amp; Stats'!B362,'Financial Summary &amp; Stats'!$N:$N),0)</f>
        <v>0</v>
      </c>
      <c r="S362" s="595"/>
      <c r="T362" s="202">
        <f>IFERROR(IF('Direct and Indirect Expenses'!$A$9="Other Indirect Allocation Method",(ROUND((N362+P362)/($N$8+$P$8)*'Direct and Indirect Expenses'!$C$9,0)),ROUND((N362+P362)*'Direct and Indirect Expenses'!$B$9,0)),0)</f>
        <v>0</v>
      </c>
      <c r="U362" s="202">
        <f t="shared" si="169"/>
        <v>0</v>
      </c>
      <c r="V362" s="293" t="str">
        <f t="shared" si="170"/>
        <v/>
      </c>
      <c r="Y362" s="128"/>
    </row>
    <row r="363" spans="1:25" ht="20.100000000000001" customHeight="1" x14ac:dyDescent="0.2">
      <c r="A363" s="116" t="s">
        <v>116</v>
      </c>
      <c r="B363" s="122" t="s">
        <v>85</v>
      </c>
      <c r="C363" s="122" t="s">
        <v>196</v>
      </c>
      <c r="D363" s="123" t="str">
        <f t="array" ref="D363">IFERROR(INDEX('Crosswalk '!$C$9:$C$94,MATCH(1,(B363='Crosswalk '!$B$9:$B$94)*(E363='Crosswalk '!$G$9:$G$94),0)),"")</f>
        <v/>
      </c>
      <c r="E363" s="291" t="str">
        <f t="array" ref="E363">IFERROR(INDEX('Crosswalk '!$E$106:$E$125,MATCH(1,($A$339='Crosswalk '!$D$106:$D$125)*($C363='Crosswalk '!$F$106:$F$125),0)),"")</f>
        <v/>
      </c>
      <c r="F363" s="485"/>
      <c r="G363" s="486"/>
      <c r="H363" s="159" t="str">
        <f t="array" ref="H363">IFERROR(INDEX('Crosswalk '!$E$9:$E$103,MATCH(1,($B363='Crosswalk '!$B$9:$B$103)*($E363='Crosswalk '!$G$9:$G$103),0)),"")</f>
        <v/>
      </c>
      <c r="I363" s="166"/>
      <c r="J363" s="126" t="str">
        <f t="shared" si="164"/>
        <v/>
      </c>
      <c r="K363" s="200">
        <f t="shared" si="165"/>
        <v>0</v>
      </c>
      <c r="L363" s="294">
        <f t="shared" si="168"/>
        <v>0</v>
      </c>
      <c r="M363" s="294">
        <f t="shared" si="166"/>
        <v>0</v>
      </c>
      <c r="N363" s="186">
        <f t="shared" si="167"/>
        <v>0</v>
      </c>
      <c r="O363" s="201" t="str">
        <f>IFERROR(ROUND(N363/'Direct Prof Sal &amp; Fringes  '!$L$8,8),"")</f>
        <v/>
      </c>
      <c r="P363" s="186" t="str">
        <f>IF(ISBLANK(O363),"",IFERROR(ROUND(O363*' Indirect Non-prof Sal &amp; Fringe'!$M$42,0),""))</f>
        <v/>
      </c>
      <c r="Q363" s="186" t="str">
        <f>IF(ISBLANK(O363),"",IFERROR(ROUND(O363*'Direct and Indirect Expenses'!$K$20,0),""))</f>
        <v/>
      </c>
      <c r="R363" s="309">
        <f>IFERROR(SUMIF('Direct and Indirect Expenses'!$B$14:$B$34,'Financial Summary &amp; Stats'!B363,'Direct and Indirect Expenses'!$H$14:$H$34)*N363/SUMIF('Financial Summary &amp; Stats'!$B:$B,'Financial Summary &amp; Stats'!B363,'Financial Summary &amp; Stats'!$N:$N),0)</f>
        <v>0</v>
      </c>
      <c r="S363" s="595"/>
      <c r="T363" s="202">
        <f>IFERROR(IF('Direct and Indirect Expenses'!$A$9="Other Indirect Allocation Method",(ROUND((N363+P363)/($N$8+$P$8)*'Direct and Indirect Expenses'!$C$9,0)),ROUND((N363+P363)*'Direct and Indirect Expenses'!$B$9,0)),0)</f>
        <v>0</v>
      </c>
      <c r="U363" s="202">
        <f t="shared" si="169"/>
        <v>0</v>
      </c>
      <c r="V363" s="293" t="str">
        <f t="shared" si="170"/>
        <v/>
      </c>
      <c r="Y363" s="128"/>
    </row>
    <row r="364" spans="1:25" ht="20.100000000000001" customHeight="1" x14ac:dyDescent="0.2">
      <c r="A364" s="116" t="s">
        <v>116</v>
      </c>
      <c r="B364" s="122" t="s">
        <v>85</v>
      </c>
      <c r="C364" s="122"/>
      <c r="D364" s="123" t="str">
        <f t="array" ref="D364">IFERROR(INDEX('Crosswalk '!$C$9:$C$94,MATCH(1,(B364='Crosswalk '!$B$9:$B$94)*(E364='Crosswalk '!$G$9:$G$94),0)),"")</f>
        <v/>
      </c>
      <c r="E364" s="291" t="str">
        <f t="array" ref="E364">IFERROR(INDEX('Crosswalk '!$E$106:$E$125,MATCH(1,($A$339='Crosswalk '!$D$106:$D$125)*($C364='Crosswalk '!$F$106:$F$125),0)),"")</f>
        <v/>
      </c>
      <c r="F364" s="485"/>
      <c r="G364" s="486"/>
      <c r="H364" s="159" t="str">
        <f t="array" ref="H364">IFERROR(INDEX('Crosswalk '!$E$9:$E$103,MATCH(1,($B364='Crosswalk '!$B$9:$B$103)*($E364='Crosswalk '!$G$9:$G$103),0)),"")</f>
        <v/>
      </c>
      <c r="I364" s="166"/>
      <c r="J364" s="126" t="str">
        <f t="shared" si="164"/>
        <v/>
      </c>
      <c r="K364" s="200">
        <f t="shared" si="165"/>
        <v>0</v>
      </c>
      <c r="L364" s="294">
        <f t="shared" si="168"/>
        <v>0</v>
      </c>
      <c r="M364" s="294">
        <f t="shared" si="166"/>
        <v>0</v>
      </c>
      <c r="N364" s="186">
        <f t="shared" si="167"/>
        <v>0</v>
      </c>
      <c r="O364" s="201" t="str">
        <f>IFERROR(ROUND(N364/'Direct Prof Sal &amp; Fringes  '!$L$8,8),"")</f>
        <v/>
      </c>
      <c r="P364" s="186" t="str">
        <f>IF(ISBLANK(O364),"",IFERROR(ROUND(O364*' Indirect Non-prof Sal &amp; Fringe'!$M$42,0),""))</f>
        <v/>
      </c>
      <c r="Q364" s="186" t="str">
        <f>IF(ISBLANK(O364),"",IFERROR(ROUND(O364*'Direct and Indirect Expenses'!$K$20,0),""))</f>
        <v/>
      </c>
      <c r="R364" s="309">
        <f>IFERROR(SUMIF('Direct and Indirect Expenses'!$B$14:$B$34,'Financial Summary &amp; Stats'!B364,'Direct and Indirect Expenses'!$H$14:$H$34)*N364/SUMIF('Financial Summary &amp; Stats'!$B:$B,'Financial Summary &amp; Stats'!B364,'Financial Summary &amp; Stats'!$N:$N),0)</f>
        <v>0</v>
      </c>
      <c r="S364" s="595"/>
      <c r="T364" s="202">
        <f>IFERROR(IF('Direct and Indirect Expenses'!$A$9="Other Indirect Allocation Method",(ROUND((N364+P364)/($N$8+$P$8)*'Direct and Indirect Expenses'!$C$9,0)),ROUND((N364+P364)*'Direct and Indirect Expenses'!$B$9,0)),0)</f>
        <v>0</v>
      </c>
      <c r="U364" s="202">
        <f t="shared" si="169"/>
        <v>0</v>
      </c>
      <c r="V364" s="293" t="str">
        <f t="shared" si="170"/>
        <v/>
      </c>
      <c r="Y364" s="128"/>
    </row>
    <row r="365" spans="1:25" ht="20.100000000000001" customHeight="1" x14ac:dyDescent="0.2">
      <c r="A365" s="116" t="s">
        <v>110</v>
      </c>
      <c r="B365" s="122" t="s">
        <v>73</v>
      </c>
      <c r="C365" s="122"/>
      <c r="D365" s="123" t="str">
        <f t="array" ref="D365">IFERROR(INDEX('Crosswalk '!$C$9:$C$94,MATCH(1,(B365='Crosswalk '!$B$9:$B$94)*(E365='Crosswalk '!$G$9:$G$94),0)),"")</f>
        <v/>
      </c>
      <c r="E365" s="291" t="str">
        <f t="array" ref="E365">IFERROR(INDEX('Crosswalk '!$E$106:$E$125,MATCH(1,($A$339='Crosswalk '!$D$106:$D$125)*($C365='Crosswalk '!$F$106:$F$125),0)),"")</f>
        <v/>
      </c>
      <c r="F365" s="485"/>
      <c r="G365" s="181"/>
      <c r="H365" s="159" t="str">
        <f t="array" ref="H365">IFERROR(INDEX('Crosswalk '!$E$9:$E$103,MATCH(1,($B365='Crosswalk '!$B$9:$B$103)*($E365='Crosswalk '!$G$9:$G$103),0)),"")</f>
        <v/>
      </c>
      <c r="I365" s="125">
        <f t="shared" ref="I365:I367" si="172">IFERROR(ROUND(F365*H365,2),0)</f>
        <v>0</v>
      </c>
      <c r="J365" s="126" t="str">
        <f t="shared" si="164"/>
        <v/>
      </c>
      <c r="K365" s="200">
        <f t="shared" si="165"/>
        <v>0</v>
      </c>
      <c r="L365" s="294">
        <f t="shared" si="168"/>
        <v>0</v>
      </c>
      <c r="M365" s="294">
        <f t="shared" si="166"/>
        <v>0</v>
      </c>
      <c r="N365" s="186">
        <f t="shared" si="167"/>
        <v>0</v>
      </c>
      <c r="O365" s="201" t="str">
        <f>IFERROR(ROUND(N365/'Direct Prof Sal &amp; Fringes  '!$L$8,8),"")</f>
        <v/>
      </c>
      <c r="P365" s="186" t="str">
        <f>IF(ISBLANK(O365),"",IFERROR(ROUND(O365*' Indirect Non-prof Sal &amp; Fringe'!$M$42,0),""))</f>
        <v/>
      </c>
      <c r="Q365" s="186" t="str">
        <f>IF(ISBLANK(O365),"",IFERROR(ROUND(O365*'Direct and Indirect Expenses'!$K$20,0),""))</f>
        <v/>
      </c>
      <c r="R365" s="309">
        <f>IFERROR(SUMIF('Direct and Indirect Expenses'!$B$14:$B$34,'Financial Summary &amp; Stats'!B365,'Direct and Indirect Expenses'!$H$14:$H$34)*N365/SUMIF('Financial Summary &amp; Stats'!$B:$B,'Financial Summary &amp; Stats'!B365,'Financial Summary &amp; Stats'!$N:$N),0)</f>
        <v>0</v>
      </c>
      <c r="S365" s="595"/>
      <c r="T365" s="202">
        <f>IFERROR(IF('Direct and Indirect Expenses'!$A$9="Other Indirect Allocation Method",(ROUND((N365+P365)/($N$8+$P$8)*'Direct and Indirect Expenses'!$C$9,0)),ROUND((N365+P365)*'Direct and Indirect Expenses'!$B$9,0)),0)</f>
        <v>0</v>
      </c>
      <c r="U365" s="202">
        <f t="shared" si="169"/>
        <v>0</v>
      </c>
      <c r="V365" s="293" t="str">
        <f t="shared" si="170"/>
        <v/>
      </c>
      <c r="Y365" s="128"/>
    </row>
    <row r="366" spans="1:25" ht="20.100000000000001" customHeight="1" x14ac:dyDescent="0.2">
      <c r="A366" s="116" t="s">
        <v>109</v>
      </c>
      <c r="B366" s="122">
        <v>99367</v>
      </c>
      <c r="C366" s="122"/>
      <c r="D366" s="123">
        <f t="array" ref="D366">IFERROR(INDEX('Crosswalk '!$C$9:$C$94,MATCH(1,(B366='Crosswalk '!$B$9:$B$94)*(E366='Crosswalk '!$G$9:$G$94),0)),"")</f>
        <v>0</v>
      </c>
      <c r="E366" s="159" t="s">
        <v>142</v>
      </c>
      <c r="F366" s="485"/>
      <c r="G366" s="181"/>
      <c r="H366" s="159">
        <f t="array" ref="H366">IFERROR(INDEX('Crosswalk '!$E$9:$E$103,MATCH(1,($B366='Crosswalk '!$B$9:$B$103)*($E366='Crosswalk '!$G$9:$G$103),0)),"")</f>
        <v>0.5</v>
      </c>
      <c r="I366" s="125">
        <f t="shared" si="172"/>
        <v>0</v>
      </c>
      <c r="J366" s="126">
        <f t="shared" si="164"/>
        <v>0</v>
      </c>
      <c r="K366" s="200">
        <f t="shared" si="165"/>
        <v>0</v>
      </c>
      <c r="L366" s="294">
        <f t="shared" si="168"/>
        <v>0</v>
      </c>
      <c r="M366" s="294">
        <f t="shared" si="166"/>
        <v>0</v>
      </c>
      <c r="N366" s="186">
        <f t="shared" si="167"/>
        <v>0</v>
      </c>
      <c r="O366" s="201" t="str">
        <f>IFERROR(ROUND(N366/'Direct Prof Sal &amp; Fringes  '!$L$8,8),"")</f>
        <v/>
      </c>
      <c r="P366" s="186" t="str">
        <f>IF(ISBLANK(O366),"",IFERROR(ROUND(O366*' Indirect Non-prof Sal &amp; Fringe'!$M$42,0),""))</f>
        <v/>
      </c>
      <c r="Q366" s="186" t="str">
        <f>IF(ISBLANK(O366),"",IFERROR(ROUND(O366*'Direct and Indirect Expenses'!$K$20,0),""))</f>
        <v/>
      </c>
      <c r="R366" s="309">
        <f>IFERROR(SUMIF('Direct and Indirect Expenses'!$B$14:$B$34,'Financial Summary &amp; Stats'!B366,'Direct and Indirect Expenses'!$H$14:$H$34)*N366/SUMIF('Financial Summary &amp; Stats'!$B:$B,'Financial Summary &amp; Stats'!B366,'Financial Summary &amp; Stats'!$N:$N),0)</f>
        <v>0</v>
      </c>
      <c r="S366" s="595"/>
      <c r="T366" s="202">
        <f>IFERROR(IF('Direct and Indirect Expenses'!$A$9="Other Indirect Allocation Method",(ROUND((N366+P366)/($N$8+$P$8)*'Direct and Indirect Expenses'!$C$9,0)),ROUND((N366+P366)*'Direct and Indirect Expenses'!$B$9,0)),0)</f>
        <v>0</v>
      </c>
      <c r="U366" s="202">
        <f t="shared" si="169"/>
        <v>0</v>
      </c>
      <c r="V366" s="293" t="str">
        <f t="shared" si="170"/>
        <v/>
      </c>
      <c r="Y366" s="128"/>
    </row>
    <row r="367" spans="1:25" ht="20.100000000000001" customHeight="1" x14ac:dyDescent="0.2">
      <c r="A367" s="116" t="s">
        <v>108</v>
      </c>
      <c r="B367" s="122">
        <v>99366</v>
      </c>
      <c r="C367" s="122"/>
      <c r="D367" s="123">
        <f t="array" ref="D367">IFERROR(INDEX('Crosswalk '!$C$9:$C$94,MATCH(1,(B367='Crosswalk '!$B$9:$B$94)*(E367='Crosswalk '!$G$9:$G$94),0)),"")</f>
        <v>0</v>
      </c>
      <c r="E367" s="159" t="s">
        <v>142</v>
      </c>
      <c r="F367" s="485"/>
      <c r="G367" s="181"/>
      <c r="H367" s="159">
        <f t="array" ref="H367">IFERROR(INDEX('Crosswalk '!$E$9:$E$103,MATCH(1,($B367='Crosswalk '!$B$9:$B$103)*($E367='Crosswalk '!$G$9:$G$103),0)),"")</f>
        <v>0.5</v>
      </c>
      <c r="I367" s="125">
        <f t="shared" si="172"/>
        <v>0</v>
      </c>
      <c r="J367" s="126">
        <f t="shared" si="164"/>
        <v>0</v>
      </c>
      <c r="K367" s="200">
        <f t="shared" si="165"/>
        <v>0</v>
      </c>
      <c r="L367" s="294">
        <f t="shared" si="168"/>
        <v>0</v>
      </c>
      <c r="M367" s="294">
        <f t="shared" si="166"/>
        <v>0</v>
      </c>
      <c r="N367" s="186">
        <f t="shared" si="167"/>
        <v>0</v>
      </c>
      <c r="O367" s="201" t="str">
        <f>IFERROR(ROUND(N367/'Direct Prof Sal &amp; Fringes  '!$L$8,8),"")</f>
        <v/>
      </c>
      <c r="P367" s="186" t="str">
        <f>IF(ISBLANK(O367),"",IFERROR(ROUND(O367*' Indirect Non-prof Sal &amp; Fringe'!$M$42,0),""))</f>
        <v/>
      </c>
      <c r="Q367" s="186" t="str">
        <f>IF(ISBLANK(O367),"",IFERROR(ROUND(O367*'Direct and Indirect Expenses'!$K$20,0),""))</f>
        <v/>
      </c>
      <c r="R367" s="309">
        <f>IFERROR(SUMIF('Direct and Indirect Expenses'!$B$14:$B$34,'Financial Summary &amp; Stats'!B367,'Direct and Indirect Expenses'!$H$14:$H$34)*N367/SUMIF('Financial Summary &amp; Stats'!$B:$B,'Financial Summary &amp; Stats'!B367,'Financial Summary &amp; Stats'!$N:$N),0)</f>
        <v>0</v>
      </c>
      <c r="S367" s="595"/>
      <c r="T367" s="202">
        <f>IFERROR(IF('Direct and Indirect Expenses'!$A$9="Other Indirect Allocation Method",(ROUND((N367+P367)/($N$8+$P$8)*'Direct and Indirect Expenses'!$C$9,0)),ROUND((N367+P367)*'Direct and Indirect Expenses'!$B$9,0)),0)</f>
        <v>0</v>
      </c>
      <c r="U367" s="202">
        <f t="shared" si="169"/>
        <v>0</v>
      </c>
      <c r="V367" s="293" t="str">
        <f t="shared" si="170"/>
        <v/>
      </c>
      <c r="Y367" s="128"/>
    </row>
    <row r="368" spans="1:25" ht="20.100000000000001" customHeight="1" x14ac:dyDescent="0.2">
      <c r="A368" s="171"/>
      <c r="B368" s="172"/>
      <c r="C368" s="172"/>
      <c r="D368" s="173"/>
      <c r="E368" s="173"/>
      <c r="F368" s="174"/>
      <c r="G368" s="179"/>
      <c r="H368" s="175"/>
      <c r="I368" s="176"/>
      <c r="J368" s="176"/>
      <c r="K368" s="178"/>
      <c r="L368" s="296"/>
      <c r="M368" s="296"/>
      <c r="N368" s="302"/>
      <c r="O368" s="177"/>
      <c r="P368" s="177"/>
      <c r="Q368" s="177"/>
      <c r="R368" s="302"/>
      <c r="S368" s="302"/>
      <c r="T368" s="193"/>
      <c r="U368" s="193"/>
      <c r="V368" s="191"/>
      <c r="Y368" s="128"/>
    </row>
    <row r="369" spans="1:25" ht="20.100000000000001" customHeight="1" x14ac:dyDescent="0.2">
      <c r="A369" s="171"/>
      <c r="B369" s="172"/>
      <c r="C369" s="172"/>
      <c r="D369" s="173"/>
      <c r="E369" s="173"/>
      <c r="F369" s="174"/>
      <c r="G369" s="179"/>
      <c r="H369" s="175"/>
      <c r="I369" s="176"/>
      <c r="J369" s="176"/>
      <c r="K369" s="178"/>
      <c r="L369" s="296"/>
      <c r="M369" s="296"/>
      <c r="N369" s="302"/>
      <c r="O369" s="177"/>
      <c r="P369" s="177"/>
      <c r="Q369" s="177"/>
      <c r="R369" s="302"/>
      <c r="S369" s="302"/>
      <c r="T369" s="193"/>
      <c r="U369" s="193"/>
      <c r="V369" s="191"/>
      <c r="Y369" s="128"/>
    </row>
    <row r="370" spans="1:25" ht="20.100000000000001" customHeight="1" x14ac:dyDescent="0.25">
      <c r="A370" s="289" t="s">
        <v>101</v>
      </c>
      <c r="B370" s="122"/>
      <c r="C370" s="122"/>
      <c r="D370" s="123"/>
      <c r="E370" s="123"/>
      <c r="F370" s="130"/>
      <c r="G370" s="180"/>
      <c r="H370" s="159"/>
      <c r="I370" s="125"/>
      <c r="J370" s="126"/>
      <c r="K370" s="127"/>
      <c r="L370" s="295"/>
      <c r="M370" s="295"/>
      <c r="N370" s="186"/>
      <c r="O370" s="121"/>
      <c r="P370" s="121"/>
      <c r="Q370" s="186"/>
      <c r="R370" s="186"/>
      <c r="S370" s="186"/>
      <c r="T370" s="186"/>
      <c r="U370" s="186"/>
      <c r="V370" s="293"/>
      <c r="Y370" s="128"/>
    </row>
    <row r="371" spans="1:25" ht="20.100000000000001" customHeight="1" x14ac:dyDescent="0.2">
      <c r="A371" s="129" t="s">
        <v>117</v>
      </c>
      <c r="B371" s="131">
        <v>96101</v>
      </c>
      <c r="C371" s="131"/>
      <c r="D371" s="123" t="str">
        <f t="array" ref="D371">IFERROR(INDEX('Crosswalk '!$C$9:$C$94,MATCH(1,(B371='Crosswalk '!$B$9:$B$94)*(E371='Crosswalk '!$G$9:$G$94),0)),"")</f>
        <v/>
      </c>
      <c r="E371" s="291" t="str">
        <f t="array" ref="E371">IFERROR(INDEX('Crosswalk '!$E$106:$E$125,MATCH(1,($A$339='Crosswalk '!$D$106:$D$125)*($C371='Crosswalk '!$F$106:$F$125),0)),"")</f>
        <v/>
      </c>
      <c r="F371" s="485"/>
      <c r="G371" s="181"/>
      <c r="H371" s="159" t="str">
        <f t="array" ref="H371">IFERROR(INDEX('Crosswalk '!$E$9:$E$103,MATCH(1,($B371='Crosswalk '!$B$9:$B$103)*($E371='Crosswalk '!$G$9:$G$103),0)),"")</f>
        <v/>
      </c>
      <c r="I371" s="125">
        <f t="shared" ref="I371:I373" si="173">IFERROR(ROUND(F371*H371,2),0)</f>
        <v>0</v>
      </c>
      <c r="J371" s="126" t="str">
        <f t="shared" ref="J371:J373" si="174">IF(ISTEXT(H371),"",IFERROR(ROUND(I371+G371,2),""))</f>
        <v/>
      </c>
      <c r="K371" s="200">
        <f t="shared" ref="K371:K373" si="175">IF(ISERROR(J371/$J$378),0,ROUND(J371/$J$378,8))</f>
        <v>0</v>
      </c>
      <c r="L371" s="294">
        <f t="shared" ref="L371:L373" si="176">ROUND(K371*$B$341,0)</f>
        <v>0</v>
      </c>
      <c r="M371" s="294">
        <f t="shared" ref="M371:M373" si="177">IFERROR(ROUND(L371/$L$378*$M$378,0),0)</f>
        <v>0</v>
      </c>
      <c r="N371" s="186">
        <f t="shared" ref="N371:N373" si="178">ROUND(L371+M371,0)</f>
        <v>0</v>
      </c>
      <c r="O371" s="201" t="str">
        <f>IFERROR(ROUND(N371/'Direct Prof Sal &amp; Fringes  '!$L$8,8),"")</f>
        <v/>
      </c>
      <c r="P371" s="186" t="str">
        <f>IF(ISBLANK(O371),"",IFERROR(ROUND(O371*' Indirect Non-prof Sal &amp; Fringe'!$M$42,0),""))</f>
        <v/>
      </c>
      <c r="Q371" s="186" t="str">
        <f>IF(ISBLANK(O371),"",IFERROR(ROUND(O371*'Direct and Indirect Expenses'!$K$20,0),""))</f>
        <v/>
      </c>
      <c r="R371" s="309">
        <f>IFERROR(SUMIF('Direct and Indirect Expenses'!$B$14:$B$34,'Financial Summary &amp; Stats'!B371,'Direct and Indirect Expenses'!$H$14:$H$34)*N371/SUMIF('Financial Summary &amp; Stats'!$B:$B,'Financial Summary &amp; Stats'!B371,'Financial Summary &amp; Stats'!$N:$N),0)</f>
        <v>0</v>
      </c>
      <c r="S371" s="595"/>
      <c r="T371" s="202">
        <f>IFERROR(IF('Direct and Indirect Expenses'!$A$9="Other Indirect Allocation Method",(ROUND((N371+P371)/($N$8+$P$8)*'Direct and Indirect Expenses'!$C$9,0)),ROUND((N371+P371)*'Direct and Indirect Expenses'!$B$9,0)),0)</f>
        <v>0</v>
      </c>
      <c r="U371" s="202">
        <f t="shared" ref="U371:U373" si="179">IFERROR(ROUND((T371+R371+Q371+P371+N371),0),0)</f>
        <v>0</v>
      </c>
      <c r="V371" s="293" t="str">
        <f>IFERROR(ROUND(U371/F371,2),"")</f>
        <v/>
      </c>
      <c r="Y371" s="128"/>
    </row>
    <row r="372" spans="1:25" ht="20.100000000000001" customHeight="1" x14ac:dyDescent="0.2">
      <c r="A372" s="129" t="s">
        <v>122</v>
      </c>
      <c r="B372" s="132" t="s">
        <v>120</v>
      </c>
      <c r="C372" s="132"/>
      <c r="D372" s="123" t="str">
        <f t="array" ref="D372">IFERROR(INDEX('Crosswalk '!$C$9:$C$94,MATCH(1,(B372='Crosswalk '!$B$9:$B$94)*(E372='Crosswalk '!$G$9:$G$94),0)),"")</f>
        <v/>
      </c>
      <c r="E372" s="123"/>
      <c r="F372" s="485"/>
      <c r="G372" s="181"/>
      <c r="H372" s="159">
        <f t="array" ref="H372">IFERROR(INDEX('Crosswalk '!$E$9:$E$103,MATCH(1,($B372='Crosswalk '!$B$9:$B$103)*($E372='Crosswalk '!$G$9:$G$103),0)),"")</f>
        <v>0.25</v>
      </c>
      <c r="I372" s="125">
        <f t="shared" si="173"/>
        <v>0</v>
      </c>
      <c r="J372" s="126">
        <f t="shared" si="174"/>
        <v>0</v>
      </c>
      <c r="K372" s="200">
        <f t="shared" si="175"/>
        <v>0</v>
      </c>
      <c r="L372" s="294">
        <f t="shared" si="176"/>
        <v>0</v>
      </c>
      <c r="M372" s="294">
        <f t="shared" si="177"/>
        <v>0</v>
      </c>
      <c r="N372" s="186">
        <f t="shared" si="178"/>
        <v>0</v>
      </c>
      <c r="O372" s="201" t="str">
        <f>IFERROR(ROUND(N372/'Direct Prof Sal &amp; Fringes  '!$L$8,8),"")</f>
        <v/>
      </c>
      <c r="P372" s="186" t="str">
        <f>IF(ISBLANK(O372),"",IFERROR(ROUND(O372*' Indirect Non-prof Sal &amp; Fringe'!$M$42,0),""))</f>
        <v/>
      </c>
      <c r="Q372" s="186" t="str">
        <f>IF(ISBLANK(O372),"",IFERROR(ROUND(O372*'Direct and Indirect Expenses'!$K$20,0),""))</f>
        <v/>
      </c>
      <c r="R372" s="309">
        <f>IFERROR(SUMIF('Direct and Indirect Expenses'!$B$14:$B$34,'Financial Summary &amp; Stats'!B372,'Direct and Indirect Expenses'!$H$14:$H$34)*N372/SUMIF('Financial Summary &amp; Stats'!$B:$B,'Financial Summary &amp; Stats'!B372,'Financial Summary &amp; Stats'!$N:$N),0)</f>
        <v>0</v>
      </c>
      <c r="S372" s="595"/>
      <c r="T372" s="202">
        <f>IFERROR(IF('Direct and Indirect Expenses'!$A$9="Other Indirect Allocation Method",(ROUND((N372+P372)/($N$8+$P$8)*'Direct and Indirect Expenses'!$C$9,0)),ROUND((N372+P372)*'Direct and Indirect Expenses'!$B$9,0)),0)</f>
        <v>0</v>
      </c>
      <c r="U372" s="202">
        <f t="shared" si="179"/>
        <v>0</v>
      </c>
      <c r="V372" s="293" t="str">
        <f t="shared" ref="V372:V373" si="180">IFERROR(ROUND(U372/F372,2),"")</f>
        <v/>
      </c>
      <c r="Y372" s="128"/>
    </row>
    <row r="373" spans="1:25" ht="20.100000000000001" customHeight="1" x14ac:dyDescent="0.2">
      <c r="A373" s="129" t="s">
        <v>123</v>
      </c>
      <c r="B373" s="132" t="s">
        <v>121</v>
      </c>
      <c r="C373" s="132"/>
      <c r="D373" s="123" t="str">
        <f t="array" ref="D373">IFERROR(INDEX('Crosswalk '!$C$9:$C$94,MATCH(1,(B373='Crosswalk '!$B$9:$B$94)*(E373='Crosswalk '!$G$9:$G$94),0)),"")</f>
        <v/>
      </c>
      <c r="E373" s="123"/>
      <c r="F373" s="485"/>
      <c r="G373" s="181"/>
      <c r="H373" s="159">
        <f t="array" ref="H373">IFERROR(INDEX('Crosswalk '!$E$9:$E$103,MATCH(1,($B373='Crosswalk '!$B$9:$B$103)*($E373='Crosswalk '!$G$9:$G$103),0)),"")</f>
        <v>0.25</v>
      </c>
      <c r="I373" s="125">
        <f t="shared" si="173"/>
        <v>0</v>
      </c>
      <c r="J373" s="126">
        <f t="shared" si="174"/>
        <v>0</v>
      </c>
      <c r="K373" s="200">
        <f t="shared" si="175"/>
        <v>0</v>
      </c>
      <c r="L373" s="294">
        <f t="shared" si="176"/>
        <v>0</v>
      </c>
      <c r="M373" s="294">
        <f t="shared" si="177"/>
        <v>0</v>
      </c>
      <c r="N373" s="186">
        <f t="shared" si="178"/>
        <v>0</v>
      </c>
      <c r="O373" s="201" t="str">
        <f>IFERROR(ROUND(N373/'Direct Prof Sal &amp; Fringes  '!$L$8,8),"")</f>
        <v/>
      </c>
      <c r="P373" s="186" t="str">
        <f>IF(ISBLANK(O373),"",IFERROR(ROUND(O373*' Indirect Non-prof Sal &amp; Fringe'!$M$42,0),""))</f>
        <v/>
      </c>
      <c r="Q373" s="186" t="str">
        <f>IF(ISBLANK(O373),"",IFERROR(ROUND(O373*'Direct and Indirect Expenses'!$K$20,0),""))</f>
        <v/>
      </c>
      <c r="R373" s="309">
        <f>IFERROR(SUMIF('Direct and Indirect Expenses'!$B$14:$B$34,'Financial Summary &amp; Stats'!B373,'Direct and Indirect Expenses'!$H$14:$H$34)*N373/SUMIF('Financial Summary &amp; Stats'!$B:$B,'Financial Summary &amp; Stats'!B373,'Financial Summary &amp; Stats'!$N:$N),0)</f>
        <v>0</v>
      </c>
      <c r="S373" s="595"/>
      <c r="T373" s="202">
        <f>IFERROR(IF('Direct and Indirect Expenses'!$A$9="Other Indirect Allocation Method",(ROUND((N373+P373)/($N$8+$P$8)*'Direct and Indirect Expenses'!$C$9,0)),ROUND((N373+P373)*'Direct and Indirect Expenses'!$B$9,0)),0)</f>
        <v>0</v>
      </c>
      <c r="U373" s="202">
        <f t="shared" si="179"/>
        <v>0</v>
      </c>
      <c r="V373" s="293" t="str">
        <f t="shared" si="180"/>
        <v/>
      </c>
      <c r="Y373" s="128"/>
    </row>
    <row r="374" spans="1:25" ht="20.100000000000001" customHeight="1" x14ac:dyDescent="0.2">
      <c r="A374" s="161"/>
      <c r="B374" s="162"/>
      <c r="C374" s="162"/>
      <c r="D374" s="163"/>
      <c r="E374" s="163"/>
      <c r="F374" s="164"/>
      <c r="G374" s="181"/>
      <c r="H374" s="165"/>
      <c r="I374" s="166"/>
      <c r="J374" s="167"/>
      <c r="K374" s="169"/>
      <c r="L374" s="297"/>
      <c r="M374" s="297"/>
      <c r="N374" s="193"/>
      <c r="O374" s="168"/>
      <c r="P374" s="168"/>
      <c r="Q374" s="168"/>
      <c r="R374" s="193"/>
      <c r="S374" s="193"/>
      <c r="T374" s="193"/>
      <c r="U374" s="193"/>
      <c r="V374" s="191"/>
      <c r="Y374" s="128"/>
    </row>
    <row r="375" spans="1:25" ht="20.100000000000001" customHeight="1" x14ac:dyDescent="0.2">
      <c r="A375" s="161"/>
      <c r="B375" s="170"/>
      <c r="C375" s="170"/>
      <c r="D375" s="163"/>
      <c r="E375" s="163"/>
      <c r="F375" s="164"/>
      <c r="G375" s="181"/>
      <c r="H375" s="165"/>
      <c r="I375" s="166"/>
      <c r="J375" s="167"/>
      <c r="K375" s="169"/>
      <c r="L375" s="297"/>
      <c r="M375" s="297"/>
      <c r="N375" s="303"/>
      <c r="O375" s="168"/>
      <c r="P375" s="168"/>
      <c r="Q375" s="168"/>
      <c r="R375" s="193"/>
      <c r="S375" s="193"/>
      <c r="T375" s="193"/>
      <c r="U375" s="193"/>
      <c r="V375" s="191"/>
      <c r="Y375" s="128"/>
    </row>
    <row r="376" spans="1:25" ht="20.100000000000001" customHeight="1" x14ac:dyDescent="0.2">
      <c r="A376" s="129" t="s">
        <v>31</v>
      </c>
      <c r="B376" s="133"/>
      <c r="C376" s="133"/>
      <c r="D376" s="123"/>
      <c r="E376" s="123"/>
      <c r="F376" s="130"/>
      <c r="G376" s="180"/>
      <c r="H376" s="124"/>
      <c r="I376" s="120"/>
      <c r="J376" s="183">
        <f>B340-ROUND(SUM(J345:J367)+SUM(J371:J373),2)</f>
        <v>0</v>
      </c>
      <c r="K376" s="127">
        <f>IF(ISERROR(J376/$J$378),0,ROUND(J376/$J$378,8))</f>
        <v>0</v>
      </c>
      <c r="L376" s="297"/>
      <c r="M376" s="297"/>
      <c r="N376" s="303"/>
      <c r="O376" s="168"/>
      <c r="P376" s="168"/>
      <c r="Q376" s="168"/>
      <c r="R376" s="193"/>
      <c r="S376" s="193"/>
      <c r="T376" s="193"/>
      <c r="U376" s="193"/>
      <c r="V376" s="191"/>
      <c r="Y376" s="128"/>
    </row>
    <row r="377" spans="1:25" ht="20.100000000000001" customHeight="1" x14ac:dyDescent="0.2">
      <c r="A377" s="129"/>
      <c r="B377" s="133"/>
      <c r="C377" s="133"/>
      <c r="D377" s="123"/>
      <c r="E377" s="123"/>
      <c r="F377" s="130"/>
      <c r="G377" s="180"/>
      <c r="H377" s="124"/>
      <c r="I377" s="125"/>
      <c r="J377" s="126"/>
      <c r="K377" s="127"/>
      <c r="L377" s="297"/>
      <c r="M377" s="297"/>
      <c r="N377" s="303"/>
      <c r="O377" s="168"/>
      <c r="P377" s="168"/>
      <c r="Q377" s="168"/>
      <c r="R377" s="193"/>
      <c r="S377" s="193"/>
      <c r="T377" s="193"/>
      <c r="U377" s="193"/>
      <c r="V377" s="191"/>
      <c r="Y377" s="128"/>
    </row>
    <row r="378" spans="1:25" ht="20.100000000000001" customHeight="1" x14ac:dyDescent="0.2">
      <c r="A378" s="129" t="s">
        <v>38</v>
      </c>
      <c r="B378" s="133"/>
      <c r="C378" s="133"/>
      <c r="D378" s="123"/>
      <c r="E378" s="123"/>
      <c r="F378" s="134">
        <f>SUM(F345:F377)</f>
        <v>0</v>
      </c>
      <c r="G378" s="182">
        <f>ROUND(SUM(G345:G377),2)</f>
        <v>0</v>
      </c>
      <c r="H378" s="119"/>
      <c r="I378" s="125">
        <f>ROUND(SUM(I345:I377),2)</f>
        <v>0</v>
      </c>
      <c r="J378" s="126">
        <f>IFERROR(SUM(J345:J376),"")</f>
        <v>0</v>
      </c>
      <c r="K378" s="121">
        <f>ROUND(SUM(K345:K377),4)</f>
        <v>0</v>
      </c>
      <c r="L378" s="298">
        <f>ROUND(SUM(L345:L377),0)</f>
        <v>0</v>
      </c>
      <c r="M378" s="295">
        <f>ROUND(K376*$B$341,0)</f>
        <v>0</v>
      </c>
      <c r="N378" s="194">
        <f>ROUND(SUM(N345:N377),0)</f>
        <v>0</v>
      </c>
      <c r="O378" s="201" t="str">
        <f t="shared" ref="O378" si="181">IFERROR(ROUND(N378/$N$8,4),"")</f>
        <v/>
      </c>
      <c r="P378" s="135">
        <f t="shared" ref="P378:U378" si="182">ROUND(SUM(P345:P377),0)</f>
        <v>0</v>
      </c>
      <c r="Q378" s="135">
        <f t="shared" si="182"/>
        <v>0</v>
      </c>
      <c r="R378" s="194">
        <f t="shared" si="182"/>
        <v>0</v>
      </c>
      <c r="S378" s="194">
        <f t="shared" si="182"/>
        <v>0</v>
      </c>
      <c r="T378" s="194">
        <f t="shared" si="182"/>
        <v>0</v>
      </c>
      <c r="U378" s="194">
        <f t="shared" si="182"/>
        <v>0</v>
      </c>
      <c r="V378" s="190" t="str">
        <f>IFERROR(AVERAGE(V345:V367,V370:V373),"")</f>
        <v/>
      </c>
    </row>
    <row r="379" spans="1:25" ht="20.100000000000001" customHeight="1" thickBot="1" x14ac:dyDescent="0.3">
      <c r="A379" s="152"/>
      <c r="B379" s="153"/>
      <c r="C379" s="153"/>
      <c r="D379" s="154"/>
      <c r="E379" s="153"/>
      <c r="F379" s="153"/>
      <c r="G379" s="154"/>
      <c r="H379" s="156"/>
      <c r="I379" s="155"/>
      <c r="J379" s="153"/>
      <c r="K379" s="156"/>
      <c r="L379" s="301"/>
      <c r="M379" s="306"/>
      <c r="N379" s="307"/>
      <c r="O379" s="137"/>
      <c r="P379" s="137"/>
      <c r="Q379" s="137"/>
      <c r="R379" s="195"/>
      <c r="S379" s="195"/>
    </row>
    <row r="380" spans="1:25" ht="28.5" customHeight="1" x14ac:dyDescent="0.3">
      <c r="A380" s="669" t="str">
        <f>IF(ISBLANK('Direct Prof Sal &amp; Fringes  '!B354),"",+'Direct Prof Sal &amp; Fringes  '!B354)</f>
        <v/>
      </c>
      <c r="B380" s="670"/>
      <c r="C380" s="670"/>
      <c r="D380" s="670"/>
      <c r="E380" s="670"/>
      <c r="F380" s="670"/>
      <c r="G380" s="670"/>
      <c r="H380" s="670"/>
      <c r="I380" s="670"/>
      <c r="J380" s="670"/>
      <c r="K380" s="670"/>
      <c r="L380" s="670"/>
      <c r="M380" s="670"/>
      <c r="N380" s="670"/>
      <c r="O380" s="671"/>
      <c r="P380" s="671"/>
      <c r="Q380" s="671"/>
      <c r="R380" s="671"/>
      <c r="S380" s="671"/>
      <c r="T380" s="671"/>
      <c r="U380" s="671"/>
      <c r="V380" s="672"/>
    </row>
    <row r="381" spans="1:25" ht="20.100000000000001" customHeight="1" x14ac:dyDescent="0.25">
      <c r="A381" s="429" t="s">
        <v>18</v>
      </c>
      <c r="B381" s="461">
        <f>+'Direct Prof Sal &amp; Fringes  '!G390</f>
        <v>0</v>
      </c>
      <c r="C381" s="461"/>
      <c r="D381" s="431"/>
      <c r="E381" s="432"/>
      <c r="F381" s="432"/>
      <c r="G381" s="431"/>
      <c r="H381" s="433"/>
      <c r="I381" s="434"/>
      <c r="J381" s="432"/>
      <c r="K381" s="433"/>
      <c r="L381" s="435"/>
      <c r="M381" s="436"/>
      <c r="N381" s="436"/>
      <c r="O381" s="457"/>
      <c r="P381" s="457"/>
      <c r="Q381" s="457"/>
      <c r="R381" s="438"/>
      <c r="S381" s="438"/>
      <c r="T381" s="438"/>
      <c r="U381" s="439"/>
      <c r="V381" s="440"/>
    </row>
    <row r="382" spans="1:25" ht="20.100000000000001" customHeight="1" x14ac:dyDescent="0.25">
      <c r="A382" s="429" t="s">
        <v>163</v>
      </c>
      <c r="B382" s="462">
        <f>+'Direct Prof Sal &amp; Fringes  '!L390</f>
        <v>0</v>
      </c>
      <c r="C382" s="462"/>
      <c r="D382" s="431"/>
      <c r="E382" s="432"/>
      <c r="F382" s="432"/>
      <c r="G382" s="431"/>
      <c r="H382" s="433"/>
      <c r="I382" s="434"/>
      <c r="J382" s="432"/>
      <c r="K382" s="433"/>
      <c r="L382" s="435"/>
      <c r="M382" s="436"/>
      <c r="N382" s="436"/>
      <c r="O382" s="457"/>
      <c r="P382" s="457"/>
      <c r="Q382" s="457"/>
      <c r="R382" s="442"/>
      <c r="S382" s="442"/>
      <c r="T382" s="442"/>
      <c r="U382" s="442"/>
      <c r="V382" s="443"/>
    </row>
    <row r="383" spans="1:25" ht="20.100000000000001" customHeight="1" thickBot="1" x14ac:dyDescent="0.3">
      <c r="A383" s="444" t="s">
        <v>222</v>
      </c>
      <c r="B383" s="445">
        <f>IFERROR((ROUND((SUM($J$386:$J$414))/B381,8)),0)</f>
        <v>0</v>
      </c>
      <c r="C383" s="447"/>
      <c r="D383" s="448"/>
      <c r="E383" s="447"/>
      <c r="F383" s="447"/>
      <c r="G383" s="448"/>
      <c r="H383" s="449"/>
      <c r="I383" s="450"/>
      <c r="J383" s="447"/>
      <c r="K383" s="449"/>
      <c r="L383" s="451"/>
      <c r="M383" s="452"/>
      <c r="N383" s="452"/>
      <c r="O383" s="458"/>
      <c r="P383" s="458"/>
      <c r="Q383" s="458"/>
      <c r="R383" s="454"/>
      <c r="S383" s="454"/>
      <c r="T383" s="454"/>
      <c r="U383" s="454"/>
      <c r="V383" s="455"/>
    </row>
    <row r="384" spans="1:25" ht="19.5" customHeight="1" thickBot="1" x14ac:dyDescent="0.3">
      <c r="A384" s="428" t="s">
        <v>49</v>
      </c>
      <c r="B384" s="428" t="s">
        <v>50</v>
      </c>
      <c r="C384" s="428" t="s">
        <v>51</v>
      </c>
      <c r="D384" s="428" t="s">
        <v>52</v>
      </c>
      <c r="E384" s="428" t="s">
        <v>53</v>
      </c>
      <c r="F384" s="428" t="s">
        <v>54</v>
      </c>
      <c r="G384" s="428" t="s">
        <v>55</v>
      </c>
      <c r="H384" s="428" t="s">
        <v>56</v>
      </c>
      <c r="I384" s="428" t="s">
        <v>57</v>
      </c>
      <c r="J384" s="428" t="s">
        <v>58</v>
      </c>
      <c r="K384" s="428" t="s">
        <v>59</v>
      </c>
      <c r="L384" s="428" t="s">
        <v>223</v>
      </c>
      <c r="M384" s="428" t="s">
        <v>224</v>
      </c>
      <c r="N384" s="428" t="s">
        <v>225</v>
      </c>
      <c r="O384" s="428" t="s">
        <v>226</v>
      </c>
      <c r="P384" s="428" t="s">
        <v>227</v>
      </c>
      <c r="Q384" s="428" t="s">
        <v>228</v>
      </c>
      <c r="R384" s="428" t="s">
        <v>229</v>
      </c>
      <c r="S384" s="428" t="s">
        <v>230</v>
      </c>
      <c r="T384" s="428" t="s">
        <v>231</v>
      </c>
      <c r="U384" s="428" t="s">
        <v>232</v>
      </c>
      <c r="V384" s="428" t="s">
        <v>242</v>
      </c>
    </row>
    <row r="385" spans="1:25" ht="87.75" customHeight="1" thickBot="1" x14ac:dyDescent="0.3">
      <c r="A385" s="346" t="s">
        <v>244</v>
      </c>
      <c r="B385" s="347" t="s">
        <v>42</v>
      </c>
      <c r="C385" s="347" t="s">
        <v>198</v>
      </c>
      <c r="D385" s="348" t="s">
        <v>62</v>
      </c>
      <c r="E385" s="348" t="s">
        <v>98</v>
      </c>
      <c r="F385" s="536" t="s">
        <v>260</v>
      </c>
      <c r="G385" s="349" t="s">
        <v>199</v>
      </c>
      <c r="H385" s="350" t="s">
        <v>19</v>
      </c>
      <c r="I385" s="347" t="s">
        <v>256</v>
      </c>
      <c r="J385" s="347" t="s">
        <v>41</v>
      </c>
      <c r="K385" s="351" t="s">
        <v>30</v>
      </c>
      <c r="L385" s="352" t="s">
        <v>173</v>
      </c>
      <c r="M385" s="352" t="s">
        <v>177</v>
      </c>
      <c r="N385" s="352" t="s">
        <v>176</v>
      </c>
      <c r="O385" s="351" t="s">
        <v>172</v>
      </c>
      <c r="P385" s="353" t="s">
        <v>178</v>
      </c>
      <c r="Q385" s="351" t="s">
        <v>204</v>
      </c>
      <c r="R385" s="352" t="s">
        <v>203</v>
      </c>
      <c r="S385" s="352" t="s">
        <v>243</v>
      </c>
      <c r="T385" s="597" t="str">
        <f>IF(ISBLANK(+'Direct and Indirect Expenses'!$A$9),"Indirect Cost Method",+'Direct and Indirect Expenses'!$A$9)</f>
        <v>Indirect Cost Method</v>
      </c>
      <c r="U385" s="354" t="s">
        <v>23</v>
      </c>
      <c r="V385" s="355" t="s">
        <v>44</v>
      </c>
    </row>
    <row r="386" spans="1:25" ht="20.100000000000001" customHeight="1" x14ac:dyDescent="0.2">
      <c r="A386" s="290" t="s">
        <v>75</v>
      </c>
      <c r="B386" s="283" t="s">
        <v>77</v>
      </c>
      <c r="C386" s="283"/>
      <c r="D386" s="198" t="str">
        <f t="array" ref="D386">IFERROR(INDEX('Crosswalk '!$C$9:$C$94,MATCH(1,($B386='Crosswalk '!$B$9:$B$94)*($E386='Crosswalk '!$G$9:$G$94),0)),"")</f>
        <v/>
      </c>
      <c r="E386" s="291" t="str">
        <f t="array" ref="E386">IFERROR(INDEX('Crosswalk '!$E$106:$E$125,MATCH(1,($A$380='Crosswalk '!$D$106:$D$125)*($C386='Crosswalk '!$F$106:$F$125),0)),"")</f>
        <v/>
      </c>
      <c r="F386" s="484"/>
      <c r="G386" s="292"/>
      <c r="H386" s="159" t="str">
        <f t="array" ref="H386">IFERROR(INDEX('Crosswalk '!$E$9:$E$103,MATCH(1,($B386='Crosswalk '!$B$9:$B$103)*($E386='Crosswalk '!$G$9:$G$103),0)),"")</f>
        <v/>
      </c>
      <c r="I386" s="199">
        <f t="shared" ref="I386:I393" si="183">IFERROR(ROUND(F386*H386,2),0)</f>
        <v>0</v>
      </c>
      <c r="J386" s="126" t="str">
        <f t="shared" ref="J386:J408" si="184">IF(ISTEXT(H386),"",IFERROR(ROUND(I386+G386,2),""))</f>
        <v/>
      </c>
      <c r="K386" s="200">
        <f t="shared" ref="K386:K408" si="185">IF(ISERROR(J386/$J$419),0,ROUND(J386/$J$419,8))</f>
        <v>0</v>
      </c>
      <c r="L386" s="294">
        <f>ROUND(K386*$B$382,0)</f>
        <v>0</v>
      </c>
      <c r="M386" s="294">
        <f t="shared" ref="M386:M408" si="186">IFERROR(ROUND(L386/$L$419*$M$419,0),0)</f>
        <v>0</v>
      </c>
      <c r="N386" s="202">
        <f t="shared" ref="N386:N408" si="187">ROUND(L386+M386,0)</f>
        <v>0</v>
      </c>
      <c r="O386" s="201" t="str">
        <f>IFERROR(ROUND(N386/'Direct Prof Sal &amp; Fringes  '!$L$8,8),"")</f>
        <v/>
      </c>
      <c r="P386" s="202" t="str">
        <f>IF(ISBLANK(O386),"",IFERROR(ROUND(O386*' Indirect Non-prof Sal &amp; Fringe'!$M$42,0),""))</f>
        <v/>
      </c>
      <c r="Q386" s="202" t="str">
        <f>IF(ISBLANK(O386),"",IFERROR(ROUND(O386*'Direct and Indirect Expenses'!$K$20,0),""))</f>
        <v/>
      </c>
      <c r="R386" s="308">
        <f>IFERROR(SUMIF('Direct and Indirect Expenses'!$B$14:$B$34,'Financial Summary &amp; Stats'!B386,'Direct and Indirect Expenses'!$H$14:$H$34)*N386/SUMIF('Financial Summary &amp; Stats'!$B:$B,'Financial Summary &amp; Stats'!B386,'Financial Summary &amp; Stats'!$N:$N),0)</f>
        <v>0</v>
      </c>
      <c r="S386" s="595"/>
      <c r="T386" s="202">
        <f>IFERROR(IF('Direct and Indirect Expenses'!$A$9="Other Indirect Allocation Method",(ROUND((N386+P386)/($N$8+$P$8)*'Direct and Indirect Expenses'!$C$9,0)),ROUND((N386+P386)*'Direct and Indirect Expenses'!$B$9,0)),0)</f>
        <v>0</v>
      </c>
      <c r="U386" s="202">
        <f>IFERROR(ROUND((T386+R386+Q386+P386+N386+S386),0),0)</f>
        <v>0</v>
      </c>
      <c r="V386" s="293" t="str">
        <f>IFERROR(ROUND(U386/F386,2),"")</f>
        <v/>
      </c>
    </row>
    <row r="387" spans="1:25" ht="20.100000000000001" customHeight="1" x14ac:dyDescent="0.2">
      <c r="A387" s="116" t="s">
        <v>70</v>
      </c>
      <c r="B387" s="122" t="s">
        <v>107</v>
      </c>
      <c r="C387" s="122"/>
      <c r="D387" s="123" t="str">
        <f t="array" ref="D387">IFERROR(INDEX('Crosswalk '!$C$9:$C$94,MATCH(1,(B387='Crosswalk '!$B$9:$B$94)*(E387='Crosswalk '!$G$9:$G$94),0)),"")</f>
        <v/>
      </c>
      <c r="E387" s="291" t="str">
        <f t="array" ref="E387">IFERROR(INDEX('Crosswalk '!$E$106:$E$125,MATCH(1,($A$380='Crosswalk '!$D$106:$D$125)*($C387='Crosswalk '!$F$106:$F$125),0)),"")</f>
        <v/>
      </c>
      <c r="F387" s="484"/>
      <c r="G387" s="185"/>
      <c r="H387" s="159" t="str">
        <f t="array" ref="H387">IFERROR(INDEX('Crosswalk '!$E$9:$E$103,MATCH(1,($B387='Crosswalk '!$B$9:$B$103)*($E387='Crosswalk '!$G$9:$G$103),0)),"")</f>
        <v/>
      </c>
      <c r="I387" s="125">
        <f t="shared" si="183"/>
        <v>0</v>
      </c>
      <c r="J387" s="126" t="str">
        <f t="shared" si="184"/>
        <v/>
      </c>
      <c r="K387" s="200">
        <f t="shared" si="185"/>
        <v>0</v>
      </c>
      <c r="L387" s="294">
        <f t="shared" ref="L387:L408" si="188">ROUND(K387*$B$382,0)</f>
        <v>0</v>
      </c>
      <c r="M387" s="294">
        <f t="shared" si="186"/>
        <v>0</v>
      </c>
      <c r="N387" s="186">
        <f t="shared" si="187"/>
        <v>0</v>
      </c>
      <c r="O387" s="201" t="str">
        <f>IFERROR(ROUND(N387/'Direct Prof Sal &amp; Fringes  '!$L$8,8),"")</f>
        <v/>
      </c>
      <c r="P387" s="186" t="str">
        <f>IF(ISBLANK(O387),"",IFERROR(ROUND(O387*' Indirect Non-prof Sal &amp; Fringe'!$M$42,0),""))</f>
        <v/>
      </c>
      <c r="Q387" s="186" t="str">
        <f>IF(ISBLANK(O387),"",IFERROR(ROUND(O387*'Direct and Indirect Expenses'!$K$20,0),""))</f>
        <v/>
      </c>
      <c r="R387" s="309">
        <f>IFERROR(SUMIF('Direct and Indirect Expenses'!$B$14:$B$34,'Financial Summary &amp; Stats'!B387,'Direct and Indirect Expenses'!$H$14:$H$34)*N387/SUMIF('Financial Summary &amp; Stats'!$B:$B,'Financial Summary &amp; Stats'!B387,'Financial Summary &amp; Stats'!$N:$N),0)</f>
        <v>0</v>
      </c>
      <c r="S387" s="595"/>
      <c r="T387" s="202">
        <f>IFERROR(IF('Direct and Indirect Expenses'!$A$9="Other Indirect Allocation Method",(ROUND((N387+P387)/($N$8+$P$8)*'Direct and Indirect Expenses'!$C$9,0)),ROUND((N387+P387)*'Direct and Indirect Expenses'!$B$9,0)),0)</f>
        <v>0</v>
      </c>
      <c r="U387" s="202">
        <f t="shared" ref="U387:U408" si="189">IFERROR(ROUND((T387+R387+Q387+P387+N387),0),0)</f>
        <v>0</v>
      </c>
      <c r="V387" s="293" t="str">
        <f t="shared" ref="V387:V408" si="190">IFERROR(ROUND(U387/F387,2),"")</f>
        <v/>
      </c>
      <c r="Y387" s="128"/>
    </row>
    <row r="388" spans="1:25" ht="20.100000000000001" customHeight="1" x14ac:dyDescent="0.2">
      <c r="A388" s="116" t="s">
        <v>115</v>
      </c>
      <c r="B388" s="122" t="s">
        <v>71</v>
      </c>
      <c r="C388" s="122"/>
      <c r="D388" s="123" t="str">
        <f t="array" ref="D388">IFERROR(INDEX('Crosswalk '!$C$9:$C$94,MATCH(1,(B388='Crosswalk '!$B$9:$B$94)*(E388='Crosswalk '!$G$9:$G$94),0)),"")</f>
        <v/>
      </c>
      <c r="E388" s="291" t="str">
        <f t="array" ref="E388">IFERROR(INDEX('Crosswalk '!$E$106:$E$125,MATCH(1,($A$380='Crosswalk '!$D$106:$D$125)*($C388='Crosswalk '!$F$106:$F$125),0)),"")</f>
        <v/>
      </c>
      <c r="F388" s="484"/>
      <c r="G388" s="185"/>
      <c r="H388" s="159" t="str">
        <f t="array" ref="H388">IFERROR(INDEX('Crosswalk '!$E$9:$E$103,MATCH(1,($B388='Crosswalk '!$B$9:$B$103)*($E388='Crosswalk '!$G$9:$G$103),0)),"")</f>
        <v/>
      </c>
      <c r="I388" s="125">
        <f t="shared" si="183"/>
        <v>0</v>
      </c>
      <c r="J388" s="126" t="str">
        <f t="shared" si="184"/>
        <v/>
      </c>
      <c r="K388" s="200">
        <f t="shared" si="185"/>
        <v>0</v>
      </c>
      <c r="L388" s="294">
        <f t="shared" si="188"/>
        <v>0</v>
      </c>
      <c r="M388" s="294">
        <f t="shared" si="186"/>
        <v>0</v>
      </c>
      <c r="N388" s="186">
        <f t="shared" si="187"/>
        <v>0</v>
      </c>
      <c r="O388" s="201" t="str">
        <f>IFERROR(ROUND(N388/'Direct Prof Sal &amp; Fringes  '!$L$8,8),"")</f>
        <v/>
      </c>
      <c r="P388" s="186" t="str">
        <f>IF(ISBLANK(O388),"",IFERROR(ROUND(O388*' Indirect Non-prof Sal &amp; Fringe'!$M$42,0),""))</f>
        <v/>
      </c>
      <c r="Q388" s="186" t="str">
        <f>IF(ISBLANK(O388),"",IFERROR(ROUND(O388*'Direct and Indirect Expenses'!$K$20,0),""))</f>
        <v/>
      </c>
      <c r="R388" s="309">
        <f>IFERROR(SUMIF('Direct and Indirect Expenses'!$B$14:$B$34,'Financial Summary &amp; Stats'!B388,'Direct and Indirect Expenses'!$H$14:$H$34)*N388/SUMIF('Financial Summary &amp; Stats'!$B:$B,'Financial Summary &amp; Stats'!B388,'Financial Summary &amp; Stats'!$N:$N),0)</f>
        <v>0</v>
      </c>
      <c r="S388" s="595"/>
      <c r="T388" s="202">
        <f>IFERROR(IF('Direct and Indirect Expenses'!$A$9="Other Indirect Allocation Method",(ROUND((N388+P388)/($N$8+$P$8)*'Direct and Indirect Expenses'!$C$9,0)),ROUND((N388+P388)*'Direct and Indirect Expenses'!$B$9,0)),0)</f>
        <v>0</v>
      </c>
      <c r="U388" s="202">
        <f t="shared" si="189"/>
        <v>0</v>
      </c>
      <c r="V388" s="293" t="str">
        <f t="shared" si="190"/>
        <v/>
      </c>
      <c r="Y388" s="128"/>
    </row>
    <row r="389" spans="1:25" ht="20.100000000000001" customHeight="1" x14ac:dyDescent="0.2">
      <c r="A389" s="116" t="s">
        <v>118</v>
      </c>
      <c r="B389" s="122" t="s">
        <v>124</v>
      </c>
      <c r="C389" s="122"/>
      <c r="D389" s="123" t="str">
        <f t="array" ref="D389">IFERROR(INDEX('Crosswalk '!$C$9:$C$94,MATCH(1,(B389='Crosswalk '!$B$9:$B$94)*(E389='Crosswalk '!$G$9:$G$94),0)),"")</f>
        <v/>
      </c>
      <c r="E389" s="291" t="str">
        <f t="array" ref="E389">IFERROR(INDEX('Crosswalk '!$E$106:$E$125,MATCH(1,($A$380='Crosswalk '!$D$106:$D$125)*($C389='Crosswalk '!$F$106:$F$125),0)),"")</f>
        <v/>
      </c>
      <c r="F389" s="484"/>
      <c r="G389" s="185"/>
      <c r="H389" s="159" t="str">
        <f t="array" ref="H389">IFERROR(INDEX('Crosswalk '!$E$9:$E$103,MATCH(1,($B389='Crosswalk '!$B$9:$B$103)*($E389='Crosswalk '!$G$9:$G$103),0)),"")</f>
        <v/>
      </c>
      <c r="I389" s="125">
        <f t="shared" si="183"/>
        <v>0</v>
      </c>
      <c r="J389" s="126" t="str">
        <f t="shared" si="184"/>
        <v/>
      </c>
      <c r="K389" s="200">
        <f t="shared" si="185"/>
        <v>0</v>
      </c>
      <c r="L389" s="294">
        <f t="shared" si="188"/>
        <v>0</v>
      </c>
      <c r="M389" s="294">
        <f t="shared" si="186"/>
        <v>0</v>
      </c>
      <c r="N389" s="186">
        <f t="shared" si="187"/>
        <v>0</v>
      </c>
      <c r="O389" s="201" t="str">
        <f>IFERROR(ROUND(N389/'Direct Prof Sal &amp; Fringes  '!$L$8,8),"")</f>
        <v/>
      </c>
      <c r="P389" s="186" t="str">
        <f>IF(ISBLANK(O389),"",IFERROR(ROUND(O389*' Indirect Non-prof Sal &amp; Fringe'!$M$42,0),""))</f>
        <v/>
      </c>
      <c r="Q389" s="186" t="str">
        <f>IF(ISBLANK(O389),"",IFERROR(ROUND(O389*'Direct and Indirect Expenses'!$K$20,0),""))</f>
        <v/>
      </c>
      <c r="R389" s="309">
        <f>IFERROR(SUMIF('Direct and Indirect Expenses'!$B$14:$B$34,'Financial Summary &amp; Stats'!B389,'Direct and Indirect Expenses'!$H$14:$H$34)*N389/SUMIF('Financial Summary &amp; Stats'!$B:$B,'Financial Summary &amp; Stats'!B389,'Financial Summary &amp; Stats'!$N:$N),0)</f>
        <v>0</v>
      </c>
      <c r="S389" s="595"/>
      <c r="T389" s="202">
        <f>IFERROR(IF('Direct and Indirect Expenses'!$A$9="Other Indirect Allocation Method",(ROUND((N389+P389)/($N$8+$P$8)*'Direct and Indirect Expenses'!$C$9,0)),ROUND((N389+P389)*'Direct and Indirect Expenses'!$B$9,0)),0)</f>
        <v>0</v>
      </c>
      <c r="U389" s="202">
        <f t="shared" si="189"/>
        <v>0</v>
      </c>
      <c r="V389" s="293" t="str">
        <f t="shared" si="190"/>
        <v/>
      </c>
      <c r="Y389" s="128"/>
    </row>
    <row r="390" spans="1:25" ht="20.100000000000001" customHeight="1" x14ac:dyDescent="0.2">
      <c r="A390" s="116" t="s">
        <v>119</v>
      </c>
      <c r="B390" s="132" t="s">
        <v>126</v>
      </c>
      <c r="C390" s="122"/>
      <c r="D390" s="123" t="str">
        <f t="array" ref="D390">IFERROR(INDEX('Crosswalk '!$C$9:$C$94,MATCH(1,(B390='Crosswalk '!$B$9:$B$94)*(E390='Crosswalk '!$G$9:$G$94),0)),"")</f>
        <v/>
      </c>
      <c r="E390" s="291" t="str">
        <f t="array" ref="E390">IFERROR(INDEX('Crosswalk '!$E$106:$E$125,MATCH(1,($A$380='Crosswalk '!$D$106:$D$125)*($C390='Crosswalk '!$F$106:$F$125),0)),"")</f>
        <v/>
      </c>
      <c r="F390" s="484"/>
      <c r="G390" s="185"/>
      <c r="H390" s="159" t="str">
        <f t="array" ref="H390">IFERROR(INDEX('Crosswalk '!$E$9:$E$103,MATCH(1,($B390='Crosswalk '!$B$9:$B$103)*($E390='Crosswalk '!$G$9:$G$103),0)),"")</f>
        <v/>
      </c>
      <c r="I390" s="125">
        <f t="shared" si="183"/>
        <v>0</v>
      </c>
      <c r="J390" s="126" t="str">
        <f t="shared" si="184"/>
        <v/>
      </c>
      <c r="K390" s="200">
        <f t="shared" si="185"/>
        <v>0</v>
      </c>
      <c r="L390" s="294">
        <f t="shared" si="188"/>
        <v>0</v>
      </c>
      <c r="M390" s="294">
        <f t="shared" si="186"/>
        <v>0</v>
      </c>
      <c r="N390" s="186">
        <f t="shared" si="187"/>
        <v>0</v>
      </c>
      <c r="O390" s="201" t="str">
        <f>IFERROR(ROUND(N390/'Direct Prof Sal &amp; Fringes  '!$L$8,8),"")</f>
        <v/>
      </c>
      <c r="P390" s="186" t="str">
        <f>IF(ISBLANK(O390),"",IFERROR(ROUND(O390*' Indirect Non-prof Sal &amp; Fringe'!$M$42,0),""))</f>
        <v/>
      </c>
      <c r="Q390" s="186" t="str">
        <f>IF(ISBLANK(O390),"",IFERROR(ROUND(O390*'Direct and Indirect Expenses'!$K$20,0),""))</f>
        <v/>
      </c>
      <c r="R390" s="309">
        <f>IFERROR(SUMIF('Direct and Indirect Expenses'!$B$14:$B$34,'Financial Summary &amp; Stats'!B390,'Direct and Indirect Expenses'!$H$14:$H$34)*N390/SUMIF('Financial Summary &amp; Stats'!$B:$B,'Financial Summary &amp; Stats'!B390,'Financial Summary &amp; Stats'!$N:$N),0)</f>
        <v>0</v>
      </c>
      <c r="S390" s="595"/>
      <c r="T390" s="202">
        <f>IFERROR(IF('Direct and Indirect Expenses'!$A$9="Other Indirect Allocation Method",(ROUND((N390+P390)/($N$8+$P$8)*'Direct and Indirect Expenses'!$C$9,0)),ROUND((N390+P390)*'Direct and Indirect Expenses'!$B$9,0)),0)</f>
        <v>0</v>
      </c>
      <c r="U390" s="202">
        <f t="shared" si="189"/>
        <v>0</v>
      </c>
      <c r="V390" s="293" t="str">
        <f t="shared" si="190"/>
        <v/>
      </c>
      <c r="W390" s="51"/>
    </row>
    <row r="391" spans="1:25" ht="20.100000000000001" customHeight="1" x14ac:dyDescent="0.2">
      <c r="A391" s="116" t="s">
        <v>80</v>
      </c>
      <c r="B391" s="122" t="s">
        <v>81</v>
      </c>
      <c r="C391" s="122"/>
      <c r="D391" s="123" t="str">
        <f t="array" ref="D391">IFERROR(INDEX('Crosswalk '!$C$9:$C$94,MATCH(1,(B391='Crosswalk '!$B$9:$B$94)*(E391='Crosswalk '!$G$9:$G$94),0)),"")</f>
        <v/>
      </c>
      <c r="E391" s="291" t="str">
        <f t="array" ref="E391">IFERROR(INDEX('Crosswalk '!$E$106:$E$125,MATCH(1,($A$380='Crosswalk '!$D$106:$D$125)*($C391='Crosswalk '!$F$106:$F$125),0)),"")</f>
        <v/>
      </c>
      <c r="F391" s="484"/>
      <c r="G391" s="185"/>
      <c r="H391" s="159" t="str">
        <f t="array" ref="H391">IFERROR(INDEX('Crosswalk '!$E$9:$E$103,MATCH(1,($B391='Crosswalk '!$B$9:$B$103)*($E391='Crosswalk '!$G$9:$G$103),0)),"")</f>
        <v/>
      </c>
      <c r="I391" s="125">
        <f t="shared" si="183"/>
        <v>0</v>
      </c>
      <c r="J391" s="126" t="str">
        <f t="shared" si="184"/>
        <v/>
      </c>
      <c r="K391" s="200">
        <f t="shared" si="185"/>
        <v>0</v>
      </c>
      <c r="L391" s="294">
        <f t="shared" si="188"/>
        <v>0</v>
      </c>
      <c r="M391" s="294">
        <f t="shared" si="186"/>
        <v>0</v>
      </c>
      <c r="N391" s="186">
        <f t="shared" si="187"/>
        <v>0</v>
      </c>
      <c r="O391" s="201" t="str">
        <f>IFERROR(ROUND(N391/'Direct Prof Sal &amp; Fringes  '!$L$8,8),"")</f>
        <v/>
      </c>
      <c r="P391" s="186" t="str">
        <f>IF(ISBLANK(O391),"",IFERROR(ROUND(O391*' Indirect Non-prof Sal &amp; Fringe'!$M$42,0),""))</f>
        <v/>
      </c>
      <c r="Q391" s="186" t="str">
        <f>IF(ISBLANK(O391),"",IFERROR(ROUND(O391*'Direct and Indirect Expenses'!$K$20,0),""))</f>
        <v/>
      </c>
      <c r="R391" s="309">
        <f>IFERROR(SUMIF('Direct and Indirect Expenses'!$B$14:$B$34,'Financial Summary &amp; Stats'!B391,'Direct and Indirect Expenses'!$H$14:$H$34)*N391/SUMIF('Financial Summary &amp; Stats'!$B:$B,'Financial Summary &amp; Stats'!B391,'Financial Summary &amp; Stats'!$N:$N),0)</f>
        <v>0</v>
      </c>
      <c r="S391" s="595"/>
      <c r="T391" s="202">
        <f>IFERROR(IF('Direct and Indirect Expenses'!$A$9="Other Indirect Allocation Method",(ROUND((N391+P391)/($N$8+$P$8)*'Direct and Indirect Expenses'!$C$9,0)),ROUND((N391+P391)*'Direct and Indirect Expenses'!$B$9,0)),0)</f>
        <v>0</v>
      </c>
      <c r="U391" s="202">
        <f t="shared" si="189"/>
        <v>0</v>
      </c>
      <c r="V391" s="293" t="str">
        <f t="shared" si="190"/>
        <v/>
      </c>
      <c r="Y391" s="128"/>
    </row>
    <row r="392" spans="1:25" ht="20.100000000000001" customHeight="1" x14ac:dyDescent="0.2">
      <c r="A392" s="116" t="s">
        <v>111</v>
      </c>
      <c r="B392" s="122">
        <v>90846</v>
      </c>
      <c r="C392" s="122"/>
      <c r="D392" s="123" t="str">
        <f t="array" ref="D392">IFERROR(INDEX('Crosswalk '!$C$9:$C$94,MATCH(1,(B392='Crosswalk '!$B$9:$B$94)*(E392='Crosswalk '!$G$9:$G$94),0)),"")</f>
        <v/>
      </c>
      <c r="E392" s="291" t="str">
        <f t="array" ref="E392">IFERROR(INDEX('Crosswalk '!$E$106:$E$125,MATCH(1,($A$380='Crosswalk '!$D$106:$D$125)*($C392='Crosswalk '!$F$106:$F$125),0)),"")</f>
        <v/>
      </c>
      <c r="F392" s="484"/>
      <c r="G392" s="185"/>
      <c r="H392" s="159" t="str">
        <f t="array" ref="H392">IFERROR(INDEX('Crosswalk '!$E$9:$E$103,MATCH(1,($B392='Crosswalk '!$B$9:$B$103)*($E392='Crosswalk '!$G$9:$G$103),0)),"")</f>
        <v/>
      </c>
      <c r="I392" s="125">
        <f t="shared" si="183"/>
        <v>0</v>
      </c>
      <c r="J392" s="126" t="str">
        <f t="shared" si="184"/>
        <v/>
      </c>
      <c r="K392" s="200">
        <f t="shared" si="185"/>
        <v>0</v>
      </c>
      <c r="L392" s="294">
        <f t="shared" si="188"/>
        <v>0</v>
      </c>
      <c r="M392" s="294">
        <f t="shared" si="186"/>
        <v>0</v>
      </c>
      <c r="N392" s="186">
        <f t="shared" si="187"/>
        <v>0</v>
      </c>
      <c r="O392" s="201" t="str">
        <f>IFERROR(ROUND(N392/'Direct Prof Sal &amp; Fringes  '!$L$8,8),"")</f>
        <v/>
      </c>
      <c r="P392" s="186" t="str">
        <f>IF(ISBLANK(O392),"",IFERROR(ROUND(O392*' Indirect Non-prof Sal &amp; Fringe'!$M$42,0),""))</f>
        <v/>
      </c>
      <c r="Q392" s="186" t="str">
        <f>IF(ISBLANK(O392),"",IFERROR(ROUND(O392*'Direct and Indirect Expenses'!$K$20,0),""))</f>
        <v/>
      </c>
      <c r="R392" s="309">
        <f>IFERROR(SUMIF('Direct and Indirect Expenses'!$B$14:$B$34,'Financial Summary &amp; Stats'!B392,'Direct and Indirect Expenses'!$H$14:$H$34)*N392/SUMIF('Financial Summary &amp; Stats'!$B:$B,'Financial Summary &amp; Stats'!B392,'Financial Summary &amp; Stats'!$N:$N),0)</f>
        <v>0</v>
      </c>
      <c r="S392" s="595"/>
      <c r="T392" s="202">
        <f>IFERROR(IF('Direct and Indirect Expenses'!$A$9="Other Indirect Allocation Method",(ROUND((N392+P392)/($N$8+$P$8)*'Direct and Indirect Expenses'!$C$9,0)),ROUND((N392+P392)*'Direct and Indirect Expenses'!$B$9,0)),0)</f>
        <v>0</v>
      </c>
      <c r="U392" s="202">
        <f t="shared" si="189"/>
        <v>0</v>
      </c>
      <c r="V392" s="293" t="str">
        <f t="shared" si="190"/>
        <v/>
      </c>
      <c r="Y392" s="128"/>
    </row>
    <row r="393" spans="1:25" ht="20.100000000000001" customHeight="1" x14ac:dyDescent="0.2">
      <c r="A393" s="116" t="s">
        <v>112</v>
      </c>
      <c r="B393" s="122">
        <v>90847</v>
      </c>
      <c r="C393" s="122"/>
      <c r="D393" s="123" t="str">
        <f t="array" ref="D393">IFERROR(INDEX('Crosswalk '!$C$9:$C$94,MATCH(1,(B393='Crosswalk '!$B$9:$B$94)*(E393='Crosswalk '!$G$9:$G$94),0)),"")</f>
        <v/>
      </c>
      <c r="E393" s="291" t="str">
        <f t="array" ref="E393">IFERROR(INDEX('Crosswalk '!$E$106:$E$125,MATCH(1,($A$380='Crosswalk '!$D$106:$D$125)*($C393='Crosswalk '!$F$106:$F$125),0)),"")</f>
        <v/>
      </c>
      <c r="F393" s="484"/>
      <c r="G393" s="185"/>
      <c r="H393" s="159" t="str">
        <f t="array" ref="H393">IFERROR(INDEX('Crosswalk '!$E$9:$E$103,MATCH(1,($B393='Crosswalk '!$B$9:$B$103)*($E393='Crosswalk '!$G$9:$G$103),0)),"")</f>
        <v/>
      </c>
      <c r="I393" s="125">
        <f t="shared" si="183"/>
        <v>0</v>
      </c>
      <c r="J393" s="126" t="str">
        <f t="shared" si="184"/>
        <v/>
      </c>
      <c r="K393" s="200">
        <f t="shared" si="185"/>
        <v>0</v>
      </c>
      <c r="L393" s="294">
        <f t="shared" si="188"/>
        <v>0</v>
      </c>
      <c r="M393" s="294">
        <f t="shared" si="186"/>
        <v>0</v>
      </c>
      <c r="N393" s="186">
        <f t="shared" si="187"/>
        <v>0</v>
      </c>
      <c r="O393" s="201" t="str">
        <f>IFERROR(ROUND(N393/'Direct Prof Sal &amp; Fringes  '!$L$8,8),"")</f>
        <v/>
      </c>
      <c r="P393" s="186" t="str">
        <f>IF(ISBLANK(O393),"",IFERROR(ROUND(O393*' Indirect Non-prof Sal &amp; Fringe'!$M$42,0),""))</f>
        <v/>
      </c>
      <c r="Q393" s="186" t="str">
        <f>IF(ISBLANK(O393),"",IFERROR(ROUND(O393*'Direct and Indirect Expenses'!$K$20,0),""))</f>
        <v/>
      </c>
      <c r="R393" s="309">
        <f>IFERROR(SUMIF('Direct and Indirect Expenses'!$B$14:$B$34,'Financial Summary &amp; Stats'!B393,'Direct and Indirect Expenses'!$H$14:$H$34)*N393/SUMIF('Financial Summary &amp; Stats'!$B:$B,'Financial Summary &amp; Stats'!B393,'Financial Summary &amp; Stats'!$N:$N),0)</f>
        <v>0</v>
      </c>
      <c r="S393" s="595"/>
      <c r="T393" s="202">
        <f>IFERROR(IF('Direct and Indirect Expenses'!$A$9="Other Indirect Allocation Method",(ROUND((N393+P393)/($N$8+$P$8)*'Direct and Indirect Expenses'!$C$9,0)),ROUND((N393+P393)*'Direct and Indirect Expenses'!$B$9,0)),0)</f>
        <v>0</v>
      </c>
      <c r="U393" s="202">
        <f t="shared" si="189"/>
        <v>0</v>
      </c>
      <c r="V393" s="293" t="str">
        <f t="shared" si="190"/>
        <v/>
      </c>
      <c r="Y393" s="128"/>
    </row>
    <row r="394" spans="1:25" ht="20.100000000000001" customHeight="1" x14ac:dyDescent="0.2">
      <c r="A394" s="116" t="s">
        <v>72</v>
      </c>
      <c r="B394" s="122">
        <v>90853</v>
      </c>
      <c r="C394" s="122"/>
      <c r="D394" s="123" t="str">
        <f t="array" ref="D394">IFERROR(INDEX('Crosswalk '!$C$9:$C$94,MATCH(1,(B394='Crosswalk '!$B$9:$B$94)*(E394='Crosswalk '!$G$9:$G$94),0)),"")</f>
        <v/>
      </c>
      <c r="E394" s="291" t="str">
        <f t="array" ref="E394">IFERROR(INDEX('Crosswalk '!$E$106:$E$125,MATCH(1,($A$380='Crosswalk '!$D$106:$D$125)*($C394='Crosswalk '!$F$106:$F$125),0)),"")</f>
        <v/>
      </c>
      <c r="F394" s="484"/>
      <c r="G394" s="486"/>
      <c r="H394" s="159" t="str">
        <f t="array" ref="H394">IFERROR(INDEX('Crosswalk '!$E$9:$E$103,MATCH(1,($B394='Crosswalk '!$B$9:$B$103)*($E394='Crosswalk '!$G$9:$G$103),0)),"")</f>
        <v/>
      </c>
      <c r="I394" s="166"/>
      <c r="J394" s="126" t="str">
        <f t="shared" si="184"/>
        <v/>
      </c>
      <c r="K394" s="200">
        <f t="shared" si="185"/>
        <v>0</v>
      </c>
      <c r="L394" s="294">
        <f t="shared" si="188"/>
        <v>0</v>
      </c>
      <c r="M394" s="294">
        <f t="shared" si="186"/>
        <v>0</v>
      </c>
      <c r="N394" s="186">
        <f t="shared" si="187"/>
        <v>0</v>
      </c>
      <c r="O394" s="201" t="str">
        <f>IFERROR(ROUND(N394/'Direct Prof Sal &amp; Fringes  '!$L$8,8),"")</f>
        <v/>
      </c>
      <c r="P394" s="186" t="str">
        <f>IF(ISBLANK(O394),"",IFERROR(ROUND(O394*' Indirect Non-prof Sal &amp; Fringe'!$M$42,0),""))</f>
        <v/>
      </c>
      <c r="Q394" s="186" t="str">
        <f>IF(ISBLANK(O394),"",IFERROR(ROUND(O394*'Direct and Indirect Expenses'!$K$20,0),""))</f>
        <v/>
      </c>
      <c r="R394" s="309">
        <f>IFERROR(SUMIF('Direct and Indirect Expenses'!$B$14:$B$34,'Financial Summary &amp; Stats'!B394,'Direct and Indirect Expenses'!$H$14:$H$34)*N394/SUMIF('Financial Summary &amp; Stats'!$B:$B,'Financial Summary &amp; Stats'!B394,'Financial Summary &amp; Stats'!$N:$N),0)</f>
        <v>0</v>
      </c>
      <c r="S394" s="595"/>
      <c r="T394" s="202">
        <f>IFERROR(IF('Direct and Indirect Expenses'!$A$9="Other Indirect Allocation Method",(ROUND((N394+P394)/($N$8+$P$8)*'Direct and Indirect Expenses'!$C$9,0)),ROUND((N394+P394)*'Direct and Indirect Expenses'!$B$9,0)),0)</f>
        <v>0</v>
      </c>
      <c r="U394" s="202">
        <f t="shared" si="189"/>
        <v>0</v>
      </c>
      <c r="V394" s="293" t="str">
        <f t="shared" si="190"/>
        <v/>
      </c>
      <c r="Y394" s="128"/>
    </row>
    <row r="395" spans="1:25" ht="20.100000000000001" customHeight="1" x14ac:dyDescent="0.2">
      <c r="A395" s="116" t="s">
        <v>127</v>
      </c>
      <c r="B395" s="122">
        <v>90832</v>
      </c>
      <c r="C395" s="122"/>
      <c r="D395" s="123" t="str">
        <f t="array" ref="D395">IFERROR(INDEX('Crosswalk '!$C$9:$C$94,MATCH(1,(B395='Crosswalk '!$B$9:$B$94)*(E395='Crosswalk '!$G$9:$G$94),0)),"")</f>
        <v/>
      </c>
      <c r="E395" s="291" t="str">
        <f t="array" ref="E395">IFERROR(INDEX('Crosswalk '!$E$106:$E$125,MATCH(1,($A$380='Crosswalk '!$D$106:$D$125)*($C395='Crosswalk '!$F$106:$F$125),0)),"")</f>
        <v/>
      </c>
      <c r="F395" s="484"/>
      <c r="G395" s="181"/>
      <c r="H395" s="159" t="str">
        <f t="array" ref="H395">IFERROR(INDEX('Crosswalk '!$E$9:$E$103,MATCH(1,($B395='Crosswalk '!$B$9:$B$103)*($E395='Crosswalk '!$G$9:$G$103),0)),"")</f>
        <v/>
      </c>
      <c r="I395" s="125">
        <f t="shared" ref="I395:I402" si="191">IFERROR(ROUND(F395*H395,2),0)</f>
        <v>0</v>
      </c>
      <c r="J395" s="126" t="str">
        <f t="shared" si="184"/>
        <v/>
      </c>
      <c r="K395" s="200">
        <f t="shared" si="185"/>
        <v>0</v>
      </c>
      <c r="L395" s="294">
        <f t="shared" si="188"/>
        <v>0</v>
      </c>
      <c r="M395" s="294">
        <f t="shared" si="186"/>
        <v>0</v>
      </c>
      <c r="N395" s="186">
        <f t="shared" si="187"/>
        <v>0</v>
      </c>
      <c r="O395" s="201" t="str">
        <f>IFERROR(ROUND(N395/'Direct Prof Sal &amp; Fringes  '!$L$8,8),"")</f>
        <v/>
      </c>
      <c r="P395" s="186" t="str">
        <f>IF(ISBLANK(O395),"",IFERROR(ROUND(O395*' Indirect Non-prof Sal &amp; Fringe'!$M$42,0),""))</f>
        <v/>
      </c>
      <c r="Q395" s="186" t="str">
        <f>IF(ISBLANK(O395),"",IFERROR(ROUND(O395*'Direct and Indirect Expenses'!$K$20,0),""))</f>
        <v/>
      </c>
      <c r="R395" s="309">
        <f>IFERROR(SUMIF('Direct and Indirect Expenses'!$B$14:$B$34,'Financial Summary &amp; Stats'!B395,'Direct and Indirect Expenses'!$H$14:$H$34)*N395/SUMIF('Financial Summary &amp; Stats'!$B:$B,'Financial Summary &amp; Stats'!B395,'Financial Summary &amp; Stats'!$N:$N),0)</f>
        <v>0</v>
      </c>
      <c r="S395" s="595"/>
      <c r="T395" s="202">
        <f>IFERROR(IF('Direct and Indirect Expenses'!$A$9="Other Indirect Allocation Method",(ROUND((N395+P395)/($N$8+$P$8)*'Direct and Indirect Expenses'!$C$9,0)),ROUND((N395+P395)*'Direct and Indirect Expenses'!$B$9,0)),0)</f>
        <v>0</v>
      </c>
      <c r="U395" s="202">
        <f t="shared" si="189"/>
        <v>0</v>
      </c>
      <c r="V395" s="293" t="str">
        <f t="shared" si="190"/>
        <v/>
      </c>
      <c r="Y395" s="128"/>
    </row>
    <row r="396" spans="1:25" ht="20.100000000000001" customHeight="1" x14ac:dyDescent="0.2">
      <c r="A396" s="116" t="s">
        <v>128</v>
      </c>
      <c r="B396" s="122">
        <v>90834</v>
      </c>
      <c r="C396" s="122"/>
      <c r="D396" s="123" t="str">
        <f t="array" ref="D396">IFERROR(INDEX('Crosswalk '!$C$9:$C$94,MATCH(1,(B396='Crosswalk '!$B$9:$B$94)*(E396='Crosswalk '!$G$9:$G$94),0)),"")</f>
        <v/>
      </c>
      <c r="E396" s="291" t="str">
        <f t="array" ref="E396">IFERROR(INDEX('Crosswalk '!$E$106:$E$125,MATCH(1,($A$380='Crosswalk '!$D$106:$D$125)*($C396='Crosswalk '!$F$106:$F$125),0)),"")</f>
        <v/>
      </c>
      <c r="F396" s="484"/>
      <c r="G396" s="181"/>
      <c r="H396" s="159" t="str">
        <f t="array" ref="H396">IFERROR(INDEX('Crosswalk '!$E$9:$E$103,MATCH(1,($B396='Crosswalk '!$B$9:$B$103)*($E396='Crosswalk '!$G$9:$G$103),0)),"")</f>
        <v/>
      </c>
      <c r="I396" s="125">
        <f t="shared" si="191"/>
        <v>0</v>
      </c>
      <c r="J396" s="126" t="str">
        <f t="shared" si="184"/>
        <v/>
      </c>
      <c r="K396" s="200">
        <f t="shared" si="185"/>
        <v>0</v>
      </c>
      <c r="L396" s="294">
        <f t="shared" si="188"/>
        <v>0</v>
      </c>
      <c r="M396" s="294">
        <f t="shared" si="186"/>
        <v>0</v>
      </c>
      <c r="N396" s="186">
        <f t="shared" si="187"/>
        <v>0</v>
      </c>
      <c r="O396" s="201" t="str">
        <f>IFERROR(ROUND(N396/'Direct Prof Sal &amp; Fringes  '!$L$8,8),"")</f>
        <v/>
      </c>
      <c r="P396" s="186" t="str">
        <f>IF(ISBLANK(O396),"",IFERROR(ROUND(O396*' Indirect Non-prof Sal &amp; Fringe'!$M$42,0),""))</f>
        <v/>
      </c>
      <c r="Q396" s="186" t="str">
        <f>IF(ISBLANK(O396),"",IFERROR(ROUND(O396*'Direct and Indirect Expenses'!$K$20,0),""))</f>
        <v/>
      </c>
      <c r="R396" s="309">
        <f>IFERROR(SUMIF('Direct and Indirect Expenses'!$B$14:$B$34,'Financial Summary &amp; Stats'!B396,'Direct and Indirect Expenses'!$H$14:$H$34)*N396/SUMIF('Financial Summary &amp; Stats'!$B:$B,'Financial Summary &amp; Stats'!B396,'Financial Summary &amp; Stats'!$N:$N),0)</f>
        <v>0</v>
      </c>
      <c r="S396" s="595"/>
      <c r="T396" s="202">
        <f>IFERROR(IF('Direct and Indirect Expenses'!$A$9="Other Indirect Allocation Method",(ROUND((N396+P396)/($N$8+$P$8)*'Direct and Indirect Expenses'!$C$9,0)),ROUND((N396+P396)*'Direct and Indirect Expenses'!$B$9,0)),0)</f>
        <v>0</v>
      </c>
      <c r="U396" s="202">
        <f t="shared" si="189"/>
        <v>0</v>
      </c>
      <c r="V396" s="293" t="str">
        <f t="shared" si="190"/>
        <v/>
      </c>
      <c r="Y396" s="128"/>
    </row>
    <row r="397" spans="1:25" ht="20.100000000000001" customHeight="1" x14ac:dyDescent="0.2">
      <c r="A397" s="116" t="s">
        <v>129</v>
      </c>
      <c r="B397" s="122">
        <v>90837</v>
      </c>
      <c r="C397" s="122"/>
      <c r="D397" s="123" t="str">
        <f t="array" ref="D397">IFERROR(INDEX('Crosswalk '!$C$9:$C$94,MATCH(1,(B397='Crosswalk '!$B$9:$B$94)*(E397='Crosswalk '!$G$9:$G$94),0)),"")</f>
        <v/>
      </c>
      <c r="E397" s="291" t="str">
        <f t="array" ref="E397">IFERROR(INDEX('Crosswalk '!$E$106:$E$125,MATCH(1,($A$380='Crosswalk '!$D$106:$D$125)*($C397='Crosswalk '!$F$106:$F$125),0)),"")</f>
        <v/>
      </c>
      <c r="F397" s="484"/>
      <c r="G397" s="181"/>
      <c r="H397" s="159" t="str">
        <f t="array" ref="H397">IFERROR(INDEX('Crosswalk '!$E$9:$E$103,MATCH(1,($B397='Crosswalk '!$B$9:$B$103)*($E397='Crosswalk '!$G$9:$G$103),0)),"")</f>
        <v/>
      </c>
      <c r="I397" s="125">
        <f t="shared" si="191"/>
        <v>0</v>
      </c>
      <c r="J397" s="126" t="str">
        <f t="shared" si="184"/>
        <v/>
      </c>
      <c r="K397" s="200">
        <f t="shared" si="185"/>
        <v>0</v>
      </c>
      <c r="L397" s="294">
        <f t="shared" si="188"/>
        <v>0</v>
      </c>
      <c r="M397" s="294">
        <f t="shared" si="186"/>
        <v>0</v>
      </c>
      <c r="N397" s="186">
        <f t="shared" si="187"/>
        <v>0</v>
      </c>
      <c r="O397" s="201" t="str">
        <f>IFERROR(ROUND(N397/'Direct Prof Sal &amp; Fringes  '!$L$8,8),"")</f>
        <v/>
      </c>
      <c r="P397" s="186" t="str">
        <f>IF(ISBLANK(O397),"",IFERROR(ROUND(O397*' Indirect Non-prof Sal &amp; Fringe'!$M$42,0),""))</f>
        <v/>
      </c>
      <c r="Q397" s="186" t="str">
        <f>IF(ISBLANK(O397),"",IFERROR(ROUND(O397*'Direct and Indirect Expenses'!$K$20,0),""))</f>
        <v/>
      </c>
      <c r="R397" s="309">
        <f>IFERROR(SUMIF('Direct and Indirect Expenses'!$B$14:$B$34,'Financial Summary &amp; Stats'!B397,'Direct and Indirect Expenses'!$H$14:$H$34)*N397/SUMIF('Financial Summary &amp; Stats'!$B:$B,'Financial Summary &amp; Stats'!B397,'Financial Summary &amp; Stats'!$N:$N),0)</f>
        <v>0</v>
      </c>
      <c r="S397" s="595"/>
      <c r="T397" s="202">
        <f>IFERROR(IF('Direct and Indirect Expenses'!$A$9="Other Indirect Allocation Method",(ROUND((N397+P397)/($N$8+$P$8)*'Direct and Indirect Expenses'!$C$9,0)),ROUND((N397+P397)*'Direct and Indirect Expenses'!$B$9,0)),0)</f>
        <v>0</v>
      </c>
      <c r="U397" s="202">
        <f t="shared" si="189"/>
        <v>0</v>
      </c>
      <c r="V397" s="293" t="str">
        <f t="shared" si="190"/>
        <v/>
      </c>
      <c r="Y397" s="128"/>
    </row>
    <row r="398" spans="1:25" ht="20.100000000000001" customHeight="1" x14ac:dyDescent="0.2">
      <c r="A398" s="116" t="s">
        <v>114</v>
      </c>
      <c r="B398" s="122" t="s">
        <v>113</v>
      </c>
      <c r="C398" s="122"/>
      <c r="D398" s="123" t="str">
        <f t="array" ref="D398">IFERROR(INDEX('Crosswalk '!$C$9:$C$94,MATCH(1,(B398='Crosswalk '!$B$9:$B$94)*(E398='Crosswalk '!$G$9:$G$94),0)),"")</f>
        <v/>
      </c>
      <c r="E398" s="291" t="str">
        <f t="array" ref="E398">IFERROR(INDEX('Crosswalk '!$E$106:$E$125,MATCH(1,($A$380='Crosswalk '!$D$106:$D$125)*($C398='Crosswalk '!$F$106:$F$125),0)),"")</f>
        <v/>
      </c>
      <c r="F398" s="484"/>
      <c r="G398" s="181"/>
      <c r="H398" s="159" t="str">
        <f t="array" ref="H398">IFERROR(INDEX('Crosswalk '!$E$9:$E$103,MATCH(1,($B398='Crosswalk '!$B$9:$B$103)*($E398='Crosswalk '!$G$9:$G$103),0)),"")</f>
        <v/>
      </c>
      <c r="I398" s="125">
        <f t="shared" si="191"/>
        <v>0</v>
      </c>
      <c r="J398" s="126" t="str">
        <f t="shared" si="184"/>
        <v/>
      </c>
      <c r="K398" s="200">
        <f t="shared" si="185"/>
        <v>0</v>
      </c>
      <c r="L398" s="294">
        <f t="shared" si="188"/>
        <v>0</v>
      </c>
      <c r="M398" s="294">
        <f t="shared" si="186"/>
        <v>0</v>
      </c>
      <c r="N398" s="186">
        <f t="shared" si="187"/>
        <v>0</v>
      </c>
      <c r="O398" s="201" t="str">
        <f>IFERROR(ROUND(N398/'Direct Prof Sal &amp; Fringes  '!$L$8,8),"")</f>
        <v/>
      </c>
      <c r="P398" s="186" t="str">
        <f>IF(ISBLANK(O398),"",IFERROR(ROUND(O398*' Indirect Non-prof Sal &amp; Fringe'!$M$42,0),""))</f>
        <v/>
      </c>
      <c r="Q398" s="186" t="str">
        <f>IF(ISBLANK(O398),"",IFERROR(ROUND(O398*'Direct and Indirect Expenses'!$K$20,0),""))</f>
        <v/>
      </c>
      <c r="R398" s="309">
        <f>IFERROR(SUMIF('Direct and Indirect Expenses'!$B$14:$B$34,'Financial Summary &amp; Stats'!B398,'Direct and Indirect Expenses'!$H$14:$H$34)*N398/SUMIF('Financial Summary &amp; Stats'!$B:$B,'Financial Summary &amp; Stats'!B398,'Financial Summary &amp; Stats'!$N:$N),0)</f>
        <v>0</v>
      </c>
      <c r="S398" s="595"/>
      <c r="T398" s="202">
        <f>IFERROR(IF('Direct and Indirect Expenses'!$A$9="Other Indirect Allocation Method",(ROUND((N398+P398)/($N$8+$P$8)*'Direct and Indirect Expenses'!$C$9,0)),ROUND((N398+P398)*'Direct and Indirect Expenses'!$B$9,0)),0)</f>
        <v>0</v>
      </c>
      <c r="U398" s="202">
        <f t="shared" si="189"/>
        <v>0</v>
      </c>
      <c r="V398" s="293" t="str">
        <f t="shared" si="190"/>
        <v/>
      </c>
      <c r="Y398" s="128"/>
    </row>
    <row r="399" spans="1:25" ht="20.100000000000001" customHeight="1" x14ac:dyDescent="0.2">
      <c r="A399" s="116" t="s">
        <v>130</v>
      </c>
      <c r="B399" s="122">
        <v>90849</v>
      </c>
      <c r="C399" s="122"/>
      <c r="D399" s="123" t="str">
        <f t="array" ref="D399">IFERROR(INDEX('Crosswalk '!$C$9:$C$94,MATCH(1,(B399='Crosswalk '!$B$9:$B$94)*(E399='Crosswalk '!$G$9:$G$94),0)),"")</f>
        <v/>
      </c>
      <c r="E399" s="291" t="str">
        <f t="array" ref="E399">IFERROR(INDEX('Crosswalk '!$E$106:$E$125,MATCH(1,($A$380='Crosswalk '!$D$106:$D$125)*($C399='Crosswalk '!$F$106:$F$125),0)),"")</f>
        <v/>
      </c>
      <c r="F399" s="484"/>
      <c r="G399" s="181"/>
      <c r="H399" s="159" t="str">
        <f t="array" ref="H399">IFERROR(INDEX('Crosswalk '!$E$9:$E$103,MATCH(1,($B399='Crosswalk '!$B$9:$B$103)*($E399='Crosswalk '!$G$9:$G$103),0)),"")</f>
        <v/>
      </c>
      <c r="I399" s="125">
        <f t="shared" si="191"/>
        <v>0</v>
      </c>
      <c r="J399" s="126" t="str">
        <f t="shared" si="184"/>
        <v/>
      </c>
      <c r="K399" s="200">
        <f t="shared" si="185"/>
        <v>0</v>
      </c>
      <c r="L399" s="294">
        <f t="shared" si="188"/>
        <v>0</v>
      </c>
      <c r="M399" s="294">
        <f t="shared" si="186"/>
        <v>0</v>
      </c>
      <c r="N399" s="186">
        <f t="shared" si="187"/>
        <v>0</v>
      </c>
      <c r="O399" s="201" t="str">
        <f>IFERROR(ROUND(N399/'Direct Prof Sal &amp; Fringes  '!$L$8,8),"")</f>
        <v/>
      </c>
      <c r="P399" s="186" t="str">
        <f>IF(ISBLANK(O399),"",IFERROR(ROUND(O399*' Indirect Non-prof Sal &amp; Fringe'!$M$42,0),""))</f>
        <v/>
      </c>
      <c r="Q399" s="186" t="str">
        <f>IF(ISBLANK(O399),"",IFERROR(ROUND(O399*'Direct and Indirect Expenses'!$K$20,0),""))</f>
        <v/>
      </c>
      <c r="R399" s="309">
        <f>IFERROR(SUMIF('Direct and Indirect Expenses'!$B$14:$B$34,'Financial Summary &amp; Stats'!B399,'Direct and Indirect Expenses'!$H$14:$H$34)*N399/SUMIF('Financial Summary &amp; Stats'!$B:$B,'Financial Summary &amp; Stats'!B399,'Financial Summary &amp; Stats'!$N:$N),0)</f>
        <v>0</v>
      </c>
      <c r="S399" s="595"/>
      <c r="T399" s="202">
        <f>IFERROR(IF('Direct and Indirect Expenses'!$A$9="Other Indirect Allocation Method",(ROUND((N399+P399)/($N$8+$P$8)*'Direct and Indirect Expenses'!$C$9,0)),ROUND((N399+P399)*'Direct and Indirect Expenses'!$B$9,0)),0)</f>
        <v>0</v>
      </c>
      <c r="U399" s="202">
        <f t="shared" si="189"/>
        <v>0</v>
      </c>
      <c r="V399" s="293" t="str">
        <f t="shared" si="190"/>
        <v/>
      </c>
      <c r="Y399" s="128"/>
    </row>
    <row r="400" spans="1:25" ht="20.100000000000001" customHeight="1" x14ac:dyDescent="0.2">
      <c r="A400" s="116" t="s">
        <v>83</v>
      </c>
      <c r="B400" s="122" t="s">
        <v>84</v>
      </c>
      <c r="C400" s="122"/>
      <c r="D400" s="123">
        <f t="array" ref="D400">IFERROR(INDEX('Crosswalk '!$C$9:$C$94,MATCH(1,(B400='Crosswalk '!$B$9:$B$94)*(E400='Crosswalk '!$G$9:$G$94),0)),"")</f>
        <v>0</v>
      </c>
      <c r="E400" s="291" t="str">
        <f t="array" ref="E400">IFERROR(INDEX('Crosswalk '!$E$106:$E$125,MATCH(1,($A$380='Crosswalk '!$D$106:$D$125)*($C400='Crosswalk '!$F$106:$F$125),0)),"")</f>
        <v/>
      </c>
      <c r="F400" s="484"/>
      <c r="G400" s="181"/>
      <c r="H400" s="159">
        <f t="array" ref="H400">IFERROR(INDEX('Crosswalk '!$E$9:$E$103,MATCH(1,($B400='Crosswalk '!$B$9:$B$103)*($E400='Crosswalk '!$G$9:$G$103),0)),"")</f>
        <v>0.25</v>
      </c>
      <c r="I400" s="125">
        <f t="shared" si="191"/>
        <v>0</v>
      </c>
      <c r="J400" s="126">
        <f t="shared" si="184"/>
        <v>0</v>
      </c>
      <c r="K400" s="200">
        <f t="shared" si="185"/>
        <v>0</v>
      </c>
      <c r="L400" s="294">
        <f t="shared" si="188"/>
        <v>0</v>
      </c>
      <c r="M400" s="294">
        <f t="shared" si="186"/>
        <v>0</v>
      </c>
      <c r="N400" s="186">
        <f t="shared" si="187"/>
        <v>0</v>
      </c>
      <c r="O400" s="201" t="str">
        <f>IFERROR(ROUND(N400/'Direct Prof Sal &amp; Fringes  '!$L$8,8),"")</f>
        <v/>
      </c>
      <c r="P400" s="186" t="str">
        <f>IF(ISBLANK(O400),"",IFERROR(ROUND(O400*' Indirect Non-prof Sal &amp; Fringe'!$M$42,0),""))</f>
        <v/>
      </c>
      <c r="Q400" s="186" t="str">
        <f>IF(ISBLANK(O400),"",IFERROR(ROUND(O400*'Direct and Indirect Expenses'!$K$20,0),""))</f>
        <v/>
      </c>
      <c r="R400" s="309">
        <f>IFERROR(SUMIF('Direct and Indirect Expenses'!$B$14:$B$34,'Financial Summary &amp; Stats'!B400,'Direct and Indirect Expenses'!$H$14:$H$34)*N400/SUMIF('Financial Summary &amp; Stats'!$B:$B,'Financial Summary &amp; Stats'!B400,'Financial Summary &amp; Stats'!$N:$N),0)</f>
        <v>0</v>
      </c>
      <c r="S400" s="595"/>
      <c r="T400" s="202">
        <f>IFERROR(IF('Direct and Indirect Expenses'!$A$9="Other Indirect Allocation Method",(ROUND((N400+P400)/($N$8+$P$8)*'Direct and Indirect Expenses'!$C$9,0)),ROUND((N400+P400)*'Direct and Indirect Expenses'!$B$9,0)),0)</f>
        <v>0</v>
      </c>
      <c r="U400" s="202">
        <f t="shared" si="189"/>
        <v>0</v>
      </c>
      <c r="V400" s="293" t="str">
        <f t="shared" si="190"/>
        <v/>
      </c>
      <c r="Y400" s="128"/>
    </row>
    <row r="401" spans="1:25" ht="20.100000000000001" customHeight="1" x14ac:dyDescent="0.2">
      <c r="A401" s="116" t="s">
        <v>132</v>
      </c>
      <c r="B401" s="122">
        <v>90792</v>
      </c>
      <c r="C401" s="122"/>
      <c r="D401" s="123" t="str">
        <f t="array" ref="D401">IFERROR(INDEX('Crosswalk '!$C$9:$C$94,MATCH(1,(B401='Crosswalk '!$B$9:$B$94)*(E401='Crosswalk '!$G$9:$G$94),0)),"")</f>
        <v/>
      </c>
      <c r="E401" s="291" t="str">
        <f t="array" ref="E401">IFERROR(INDEX('Crosswalk '!$E$106:$E$125,MATCH(1,($A$380='Crosswalk '!$D$106:$D$125)*($C401='Crosswalk '!$F$106:$F$125),0)),"")</f>
        <v/>
      </c>
      <c r="F401" s="484"/>
      <c r="G401" s="181"/>
      <c r="H401" s="159" t="str">
        <f t="array" ref="H401">IFERROR(INDEX('Crosswalk '!$E$9:$E$103,MATCH(1,($B401='Crosswalk '!$B$9:$B$103)*($E401='Crosswalk '!$G$9:$G$103),0)),"")</f>
        <v/>
      </c>
      <c r="I401" s="125">
        <f t="shared" si="191"/>
        <v>0</v>
      </c>
      <c r="J401" s="126" t="str">
        <f t="shared" si="184"/>
        <v/>
      </c>
      <c r="K401" s="200">
        <f t="shared" si="185"/>
        <v>0</v>
      </c>
      <c r="L401" s="294">
        <f t="shared" si="188"/>
        <v>0</v>
      </c>
      <c r="M401" s="294">
        <f t="shared" si="186"/>
        <v>0</v>
      </c>
      <c r="N401" s="186">
        <f t="shared" si="187"/>
        <v>0</v>
      </c>
      <c r="O401" s="201" t="str">
        <f>IFERROR(ROUND(N401/'Direct Prof Sal &amp; Fringes  '!$L$8,8),"")</f>
        <v/>
      </c>
      <c r="P401" s="186" t="str">
        <f>IF(ISBLANK(O401),"",IFERROR(ROUND(O401*' Indirect Non-prof Sal &amp; Fringe'!$M$42,0),""))</f>
        <v/>
      </c>
      <c r="Q401" s="186" t="str">
        <f>IF(ISBLANK(O401),"",IFERROR(ROUND(O401*'Direct and Indirect Expenses'!$K$20,0),""))</f>
        <v/>
      </c>
      <c r="R401" s="309">
        <f>IFERROR(SUMIF('Direct and Indirect Expenses'!$B$14:$B$34,'Financial Summary &amp; Stats'!B401,'Direct and Indirect Expenses'!$H$14:$H$34)*N401/SUMIF('Financial Summary &amp; Stats'!$B:$B,'Financial Summary &amp; Stats'!B401,'Financial Summary &amp; Stats'!$N:$N),0)</f>
        <v>0</v>
      </c>
      <c r="S401" s="595"/>
      <c r="T401" s="202">
        <f>IFERROR(IF('Direct and Indirect Expenses'!$A$9="Other Indirect Allocation Method",(ROUND((N401+P401)/($N$8+$P$8)*'Direct and Indirect Expenses'!$C$9,0)),ROUND((N401+P401)*'Direct and Indirect Expenses'!$B$9,0)),0)</f>
        <v>0</v>
      </c>
      <c r="U401" s="202">
        <f t="shared" si="189"/>
        <v>0</v>
      </c>
      <c r="V401" s="293" t="str">
        <f t="shared" si="190"/>
        <v/>
      </c>
      <c r="Y401" s="128"/>
    </row>
    <row r="402" spans="1:25" ht="20.100000000000001" customHeight="1" x14ac:dyDescent="0.2">
      <c r="A402" s="116" t="s">
        <v>131</v>
      </c>
      <c r="B402" s="122">
        <v>90791</v>
      </c>
      <c r="C402" s="122"/>
      <c r="D402" s="123" t="str">
        <f t="array" ref="D402">IFERROR(INDEX('Crosswalk '!$C$9:$C$94,MATCH(1,(B402='Crosswalk '!$B$9:$B$94)*(E402='Crosswalk '!$G$9:$G$94),0)),"")</f>
        <v/>
      </c>
      <c r="E402" s="291" t="str">
        <f t="array" ref="E402">IFERROR(INDEX('Crosswalk '!$E$106:$E$125,MATCH(1,($A$380='Crosswalk '!$D$106:$D$125)*($C402='Crosswalk '!$F$106:$F$125),0)),"")</f>
        <v/>
      </c>
      <c r="F402" s="484"/>
      <c r="G402" s="181"/>
      <c r="H402" s="159" t="str">
        <f t="array" ref="H402">IFERROR(INDEX('Crosswalk '!$E$9:$E$103,MATCH(1,($B402='Crosswalk '!$B$9:$B$103)*($E402='Crosswalk '!$G$9:$G$103),0)),"")</f>
        <v/>
      </c>
      <c r="I402" s="125">
        <f t="shared" si="191"/>
        <v>0</v>
      </c>
      <c r="J402" s="126" t="str">
        <f t="shared" si="184"/>
        <v/>
      </c>
      <c r="K402" s="200">
        <f t="shared" si="185"/>
        <v>0</v>
      </c>
      <c r="L402" s="294">
        <f t="shared" si="188"/>
        <v>0</v>
      </c>
      <c r="M402" s="294">
        <f t="shared" si="186"/>
        <v>0</v>
      </c>
      <c r="N402" s="186">
        <f t="shared" si="187"/>
        <v>0</v>
      </c>
      <c r="O402" s="201" t="str">
        <f>IFERROR(ROUND(N402/'Direct Prof Sal &amp; Fringes  '!$L$8,8),"")</f>
        <v/>
      </c>
      <c r="P402" s="186" t="str">
        <f>IF(ISBLANK(O402),"",IFERROR(ROUND(O402*' Indirect Non-prof Sal &amp; Fringe'!$M$42,0),""))</f>
        <v/>
      </c>
      <c r="Q402" s="186" t="str">
        <f>IF(ISBLANK(O402),"",IFERROR(ROUND(O402*'Direct and Indirect Expenses'!$K$20,0),""))</f>
        <v/>
      </c>
      <c r="R402" s="309">
        <f>IFERROR(SUMIF('Direct and Indirect Expenses'!$B$14:$B$34,'Financial Summary &amp; Stats'!B402,'Direct and Indirect Expenses'!$H$14:$H$34)*N402/SUMIF('Financial Summary &amp; Stats'!$B:$B,'Financial Summary &amp; Stats'!B402,'Financial Summary &amp; Stats'!$N:$N),0)</f>
        <v>0</v>
      </c>
      <c r="S402" s="595"/>
      <c r="T402" s="202">
        <f>IFERROR(IF('Direct and Indirect Expenses'!$A$9="Other Indirect Allocation Method",(ROUND((N402+P402)/($N$8+$P$8)*'Direct and Indirect Expenses'!$C$9,0)),ROUND((N402+P402)*'Direct and Indirect Expenses'!$B$9,0)),0)</f>
        <v>0</v>
      </c>
      <c r="U402" s="202">
        <f t="shared" si="189"/>
        <v>0</v>
      </c>
      <c r="V402" s="293" t="str">
        <f t="shared" si="190"/>
        <v/>
      </c>
      <c r="Y402" s="128"/>
    </row>
    <row r="403" spans="1:25" ht="20.100000000000001" customHeight="1" x14ac:dyDescent="0.2">
      <c r="A403" s="116" t="s">
        <v>116</v>
      </c>
      <c r="B403" s="122" t="s">
        <v>85</v>
      </c>
      <c r="C403" s="122" t="s">
        <v>195</v>
      </c>
      <c r="D403" s="123" t="str">
        <f t="array" ref="D403">IFERROR(INDEX('Crosswalk '!$C$9:$C$94,MATCH(1,(B403='Crosswalk '!$B$9:$B$94)*(E403='Crosswalk '!$G$9:$G$94),0)),"")</f>
        <v/>
      </c>
      <c r="E403" s="291" t="str">
        <f t="array" ref="E403">IFERROR(INDEX('Crosswalk '!$E$106:$E$125,MATCH(1,($A$380='Crosswalk '!$D$106:$D$125)*($C403='Crosswalk '!$F$106:$F$125),0)),"")</f>
        <v/>
      </c>
      <c r="F403" s="484"/>
      <c r="G403" s="181"/>
      <c r="H403" s="159" t="str">
        <f t="array" ref="H403">IFERROR(INDEX('Crosswalk '!$E$9:$E$103,MATCH(1,($B403='Crosswalk '!$B$9:$B$103)*($E403='Crosswalk '!$G$9:$G$103),0)),"")</f>
        <v/>
      </c>
      <c r="I403" s="125"/>
      <c r="J403" s="126" t="str">
        <f t="shared" si="184"/>
        <v/>
      </c>
      <c r="K403" s="200">
        <f t="shared" si="185"/>
        <v>0</v>
      </c>
      <c r="L403" s="294">
        <f t="shared" si="188"/>
        <v>0</v>
      </c>
      <c r="M403" s="294">
        <f t="shared" si="186"/>
        <v>0</v>
      </c>
      <c r="N403" s="186">
        <f t="shared" si="187"/>
        <v>0</v>
      </c>
      <c r="O403" s="201" t="str">
        <f>IFERROR(ROUND(N403/'Direct Prof Sal &amp; Fringes  '!$L$8,8),"")</f>
        <v/>
      </c>
      <c r="P403" s="186" t="str">
        <f>IF(ISBLANK(O403),"",IFERROR(ROUND(O403*' Indirect Non-prof Sal &amp; Fringe'!$M$42,0),""))</f>
        <v/>
      </c>
      <c r="Q403" s="186" t="str">
        <f>IF(ISBLANK(O403),"",IFERROR(ROUND(O403*'Direct and Indirect Expenses'!$K$20,0),""))</f>
        <v/>
      </c>
      <c r="R403" s="309">
        <f>IFERROR(SUMIF('Direct and Indirect Expenses'!$B$14:$B$34,'Financial Summary &amp; Stats'!B403,'Direct and Indirect Expenses'!$H$14:$H$34)*N403/SUMIF('Financial Summary &amp; Stats'!$B:$B,'Financial Summary &amp; Stats'!B403,'Financial Summary &amp; Stats'!$N:$N),0)</f>
        <v>0</v>
      </c>
      <c r="S403" s="595"/>
      <c r="T403" s="202">
        <f>IFERROR(IF('Direct and Indirect Expenses'!$A$9="Other Indirect Allocation Method",(ROUND((N403+P403)/($N$8+$P$8)*'Direct and Indirect Expenses'!$C$9,0)),ROUND((N403+P403)*'Direct and Indirect Expenses'!$B$9,0)),0)</f>
        <v>0</v>
      </c>
      <c r="U403" s="202">
        <f t="shared" si="189"/>
        <v>0</v>
      </c>
      <c r="V403" s="293" t="str">
        <f t="shared" si="190"/>
        <v/>
      </c>
      <c r="Y403" s="128"/>
    </row>
    <row r="404" spans="1:25" ht="20.100000000000001" customHeight="1" x14ac:dyDescent="0.2">
      <c r="A404" s="116" t="s">
        <v>116</v>
      </c>
      <c r="B404" s="122" t="s">
        <v>85</v>
      </c>
      <c r="C404" s="122" t="s">
        <v>196</v>
      </c>
      <c r="D404" s="123" t="str">
        <f t="array" ref="D404">IFERROR(INDEX('Crosswalk '!$C$9:$C$94,MATCH(1,(B404='Crosswalk '!$B$9:$B$94)*(E404='Crosswalk '!$G$9:$G$94),0)),"")</f>
        <v/>
      </c>
      <c r="E404" s="291" t="str">
        <f t="array" ref="E404">IFERROR(INDEX('Crosswalk '!$E$106:$E$125,MATCH(1,($A$380='Crosswalk '!$D$106:$D$125)*($C404='Crosswalk '!$F$106:$F$125),0)),"")</f>
        <v/>
      </c>
      <c r="F404" s="484"/>
      <c r="G404" s="486"/>
      <c r="H404" s="159" t="str">
        <f t="array" ref="H404">IFERROR(INDEX('Crosswalk '!$E$9:$E$103,MATCH(1,($B404='Crosswalk '!$B$9:$B$103)*($E404='Crosswalk '!$G$9:$G$103),0)),"")</f>
        <v/>
      </c>
      <c r="I404" s="166"/>
      <c r="J404" s="126" t="str">
        <f t="shared" si="184"/>
        <v/>
      </c>
      <c r="K404" s="200">
        <f t="shared" si="185"/>
        <v>0</v>
      </c>
      <c r="L404" s="294">
        <f t="shared" si="188"/>
        <v>0</v>
      </c>
      <c r="M404" s="294">
        <f t="shared" si="186"/>
        <v>0</v>
      </c>
      <c r="N404" s="186">
        <f t="shared" si="187"/>
        <v>0</v>
      </c>
      <c r="O404" s="201" t="str">
        <f>IFERROR(ROUND(N404/'Direct Prof Sal &amp; Fringes  '!$L$8,8),"")</f>
        <v/>
      </c>
      <c r="P404" s="186" t="str">
        <f>IF(ISBLANK(O404),"",IFERROR(ROUND(O404*' Indirect Non-prof Sal &amp; Fringe'!$M$42,0),""))</f>
        <v/>
      </c>
      <c r="Q404" s="186" t="str">
        <f>IF(ISBLANK(O404),"",IFERROR(ROUND(O404*'Direct and Indirect Expenses'!$K$20,0),""))</f>
        <v/>
      </c>
      <c r="R404" s="309">
        <f>IFERROR(SUMIF('Direct and Indirect Expenses'!$B$14:$B$34,'Financial Summary &amp; Stats'!B404,'Direct and Indirect Expenses'!$H$14:$H$34)*N404/SUMIF('Financial Summary &amp; Stats'!$B:$B,'Financial Summary &amp; Stats'!B404,'Financial Summary &amp; Stats'!$N:$N),0)</f>
        <v>0</v>
      </c>
      <c r="S404" s="595"/>
      <c r="T404" s="202">
        <f>IFERROR(IF('Direct and Indirect Expenses'!$A$9="Other Indirect Allocation Method",(ROUND((N404+P404)/($N$8+$P$8)*'Direct and Indirect Expenses'!$C$9,0)),ROUND((N404+P404)*'Direct and Indirect Expenses'!$B$9,0)),0)</f>
        <v>0</v>
      </c>
      <c r="U404" s="202">
        <f t="shared" si="189"/>
        <v>0</v>
      </c>
      <c r="V404" s="293" t="str">
        <f t="shared" si="190"/>
        <v/>
      </c>
      <c r="Y404" s="128"/>
    </row>
    <row r="405" spans="1:25" ht="20.100000000000001" customHeight="1" x14ac:dyDescent="0.2">
      <c r="A405" s="116" t="s">
        <v>116</v>
      </c>
      <c r="B405" s="122" t="s">
        <v>85</v>
      </c>
      <c r="C405" s="122"/>
      <c r="D405" s="123" t="str">
        <f t="array" ref="D405">IFERROR(INDEX('Crosswalk '!$C$9:$C$94,MATCH(1,(B405='Crosswalk '!$B$9:$B$94)*(E405='Crosswalk '!$G$9:$G$94),0)),"")</f>
        <v/>
      </c>
      <c r="E405" s="291" t="str">
        <f t="array" ref="E405">IFERROR(INDEX('Crosswalk '!$E$106:$E$125,MATCH(1,($A$380='Crosswalk '!$D$106:$D$125)*($C405='Crosswalk '!$F$106:$F$125),0)),"")</f>
        <v/>
      </c>
      <c r="F405" s="484"/>
      <c r="G405" s="486"/>
      <c r="H405" s="159" t="str">
        <f t="array" ref="H405">IFERROR(INDEX('Crosswalk '!$E$9:$E$103,MATCH(1,($B405='Crosswalk '!$B$9:$B$103)*($E405='Crosswalk '!$G$9:$G$103),0)),"")</f>
        <v/>
      </c>
      <c r="I405" s="166"/>
      <c r="J405" s="126" t="str">
        <f t="shared" si="184"/>
        <v/>
      </c>
      <c r="K405" s="200">
        <f t="shared" si="185"/>
        <v>0</v>
      </c>
      <c r="L405" s="294">
        <f t="shared" si="188"/>
        <v>0</v>
      </c>
      <c r="M405" s="294">
        <f t="shared" si="186"/>
        <v>0</v>
      </c>
      <c r="N405" s="186">
        <f t="shared" si="187"/>
        <v>0</v>
      </c>
      <c r="O405" s="201" t="str">
        <f>IFERROR(ROUND(N405/'Direct Prof Sal &amp; Fringes  '!$L$8,8),"")</f>
        <v/>
      </c>
      <c r="P405" s="186" t="str">
        <f>IF(ISBLANK(O405),"",IFERROR(ROUND(O405*' Indirect Non-prof Sal &amp; Fringe'!$M$42,0),""))</f>
        <v/>
      </c>
      <c r="Q405" s="186" t="str">
        <f>IF(ISBLANK(O405),"",IFERROR(ROUND(O405*'Direct and Indirect Expenses'!$K$20,0),""))</f>
        <v/>
      </c>
      <c r="R405" s="309">
        <f>IFERROR(SUMIF('Direct and Indirect Expenses'!$B$14:$B$34,'Financial Summary &amp; Stats'!B405,'Direct and Indirect Expenses'!$H$14:$H$34)*N405/SUMIF('Financial Summary &amp; Stats'!$B:$B,'Financial Summary &amp; Stats'!B405,'Financial Summary &amp; Stats'!$N:$N),0)</f>
        <v>0</v>
      </c>
      <c r="S405" s="595"/>
      <c r="T405" s="202">
        <f>IFERROR(IF('Direct and Indirect Expenses'!$A$9="Other Indirect Allocation Method",(ROUND((N405+P405)/($N$8+$P$8)*'Direct and Indirect Expenses'!$C$9,0)),ROUND((N405+P405)*'Direct and Indirect Expenses'!$B$9,0)),0)</f>
        <v>0</v>
      </c>
      <c r="U405" s="202">
        <f t="shared" si="189"/>
        <v>0</v>
      </c>
      <c r="V405" s="293" t="str">
        <f t="shared" si="190"/>
        <v/>
      </c>
      <c r="Y405" s="128"/>
    </row>
    <row r="406" spans="1:25" ht="20.100000000000001" customHeight="1" x14ac:dyDescent="0.2">
      <c r="A406" s="116" t="s">
        <v>110</v>
      </c>
      <c r="B406" s="122" t="s">
        <v>73</v>
      </c>
      <c r="C406" s="122"/>
      <c r="D406" s="123" t="str">
        <f t="array" ref="D406">IFERROR(INDEX('Crosswalk '!$C$9:$C$94,MATCH(1,(B406='Crosswalk '!$B$9:$B$94)*(E406='Crosswalk '!$G$9:$G$94),0)),"")</f>
        <v/>
      </c>
      <c r="E406" s="291" t="str">
        <f t="array" ref="E406">IFERROR(INDEX('Crosswalk '!$E$106:$E$125,MATCH(1,($A$380='Crosswalk '!$D$106:$D$125)*($C406='Crosswalk '!$F$106:$F$125),0)),"")</f>
        <v/>
      </c>
      <c r="F406" s="484"/>
      <c r="G406" s="181"/>
      <c r="H406" s="159" t="str">
        <f t="array" ref="H406">IFERROR(INDEX('Crosswalk '!$E$9:$E$103,MATCH(1,($B406='Crosswalk '!$B$9:$B$103)*($E406='Crosswalk '!$G$9:$G$103),0)),"")</f>
        <v/>
      </c>
      <c r="I406" s="125">
        <f t="shared" ref="I406:I408" si="192">IFERROR(ROUND(F406*H406,2),0)</f>
        <v>0</v>
      </c>
      <c r="J406" s="126" t="str">
        <f t="shared" si="184"/>
        <v/>
      </c>
      <c r="K406" s="200">
        <f t="shared" si="185"/>
        <v>0</v>
      </c>
      <c r="L406" s="294">
        <f t="shared" si="188"/>
        <v>0</v>
      </c>
      <c r="M406" s="294">
        <f t="shared" si="186"/>
        <v>0</v>
      </c>
      <c r="N406" s="186">
        <f t="shared" si="187"/>
        <v>0</v>
      </c>
      <c r="O406" s="201" t="str">
        <f>IFERROR(ROUND(N406/'Direct Prof Sal &amp; Fringes  '!$L$8,8),"")</f>
        <v/>
      </c>
      <c r="P406" s="186" t="str">
        <f>IF(ISBLANK(O406),"",IFERROR(ROUND(O406*' Indirect Non-prof Sal &amp; Fringe'!$M$42,0),""))</f>
        <v/>
      </c>
      <c r="Q406" s="186" t="str">
        <f>IF(ISBLANK(O406),"",IFERROR(ROUND(O406*'Direct and Indirect Expenses'!$K$20,0),""))</f>
        <v/>
      </c>
      <c r="R406" s="309">
        <f>IFERROR(SUMIF('Direct and Indirect Expenses'!$B$14:$B$34,'Financial Summary &amp; Stats'!B406,'Direct and Indirect Expenses'!$H$14:$H$34)*N406/SUMIF('Financial Summary &amp; Stats'!$B:$B,'Financial Summary &amp; Stats'!B406,'Financial Summary &amp; Stats'!$N:$N),0)</f>
        <v>0</v>
      </c>
      <c r="S406" s="595"/>
      <c r="T406" s="202">
        <f>IFERROR(IF('Direct and Indirect Expenses'!$A$9="Other Indirect Allocation Method",(ROUND((N406+P406)/($N$8+$P$8)*'Direct and Indirect Expenses'!$C$9,0)),ROUND((N406+P406)*'Direct and Indirect Expenses'!$B$9,0)),0)</f>
        <v>0</v>
      </c>
      <c r="U406" s="202">
        <f t="shared" si="189"/>
        <v>0</v>
      </c>
      <c r="V406" s="293" t="str">
        <f t="shared" si="190"/>
        <v/>
      </c>
      <c r="Y406" s="128"/>
    </row>
    <row r="407" spans="1:25" ht="20.100000000000001" customHeight="1" x14ac:dyDescent="0.2">
      <c r="A407" s="116" t="s">
        <v>109</v>
      </c>
      <c r="B407" s="122">
        <v>99367</v>
      </c>
      <c r="C407" s="122"/>
      <c r="D407" s="123">
        <f t="array" ref="D407">IFERROR(INDEX('Crosswalk '!$C$9:$C$94,MATCH(1,(B407='Crosswalk '!$B$9:$B$94)*(E407='Crosswalk '!$G$9:$G$94),0)),"")</f>
        <v>0</v>
      </c>
      <c r="E407" s="159" t="s">
        <v>142</v>
      </c>
      <c r="F407" s="484"/>
      <c r="G407" s="181"/>
      <c r="H407" s="159">
        <f t="array" ref="H407">IFERROR(INDEX('Crosswalk '!$E$9:$E$103,MATCH(1,($B407='Crosswalk '!$B$9:$B$103)*($E407='Crosswalk '!$G$9:$G$103),0)),"")</f>
        <v>0.5</v>
      </c>
      <c r="I407" s="125">
        <f t="shared" si="192"/>
        <v>0</v>
      </c>
      <c r="J407" s="126">
        <f t="shared" si="184"/>
        <v>0</v>
      </c>
      <c r="K407" s="200">
        <f t="shared" si="185"/>
        <v>0</v>
      </c>
      <c r="L407" s="294">
        <f t="shared" si="188"/>
        <v>0</v>
      </c>
      <c r="M407" s="294">
        <f t="shared" si="186"/>
        <v>0</v>
      </c>
      <c r="N407" s="186">
        <f t="shared" si="187"/>
        <v>0</v>
      </c>
      <c r="O407" s="201" t="str">
        <f>IFERROR(ROUND(N407/'Direct Prof Sal &amp; Fringes  '!$L$8,8),"")</f>
        <v/>
      </c>
      <c r="P407" s="186" t="str">
        <f>IF(ISBLANK(O407),"",IFERROR(ROUND(O407*' Indirect Non-prof Sal &amp; Fringe'!$M$42,0),""))</f>
        <v/>
      </c>
      <c r="Q407" s="186" t="str">
        <f>IF(ISBLANK(O407),"",IFERROR(ROUND(O407*'Direct and Indirect Expenses'!$K$20,0),""))</f>
        <v/>
      </c>
      <c r="R407" s="309">
        <f>IFERROR(SUMIF('Direct and Indirect Expenses'!$B$14:$B$34,'Financial Summary &amp; Stats'!B407,'Direct and Indirect Expenses'!$H$14:$H$34)*N407/SUMIF('Financial Summary &amp; Stats'!$B:$B,'Financial Summary &amp; Stats'!B407,'Financial Summary &amp; Stats'!$N:$N),0)</f>
        <v>0</v>
      </c>
      <c r="S407" s="595"/>
      <c r="T407" s="202">
        <f>IFERROR(IF('Direct and Indirect Expenses'!$A$9="Other Indirect Allocation Method",(ROUND((N407+P407)/($N$8+$P$8)*'Direct and Indirect Expenses'!$C$9,0)),ROUND((N407+P407)*'Direct and Indirect Expenses'!$B$9,0)),0)</f>
        <v>0</v>
      </c>
      <c r="U407" s="202">
        <f t="shared" si="189"/>
        <v>0</v>
      </c>
      <c r="V407" s="293" t="str">
        <f t="shared" si="190"/>
        <v/>
      </c>
      <c r="Y407" s="128"/>
    </row>
    <row r="408" spans="1:25" ht="20.100000000000001" customHeight="1" x14ac:dyDescent="0.2">
      <c r="A408" s="116" t="s">
        <v>108</v>
      </c>
      <c r="B408" s="122">
        <v>99366</v>
      </c>
      <c r="C408" s="122"/>
      <c r="D408" s="123">
        <f t="array" ref="D408">IFERROR(INDEX('Crosswalk '!$C$9:$C$94,MATCH(1,(B408='Crosswalk '!$B$9:$B$94)*(E408='Crosswalk '!$G$9:$G$94),0)),"")</f>
        <v>0</v>
      </c>
      <c r="E408" s="159" t="s">
        <v>142</v>
      </c>
      <c r="F408" s="484"/>
      <c r="G408" s="181"/>
      <c r="H408" s="159">
        <f t="array" ref="H408">IFERROR(INDEX('Crosswalk '!$E$9:$E$103,MATCH(1,($B408='Crosswalk '!$B$9:$B$103)*($E408='Crosswalk '!$G$9:$G$103),0)),"")</f>
        <v>0.5</v>
      </c>
      <c r="I408" s="125">
        <f t="shared" si="192"/>
        <v>0</v>
      </c>
      <c r="J408" s="126">
        <f t="shared" si="184"/>
        <v>0</v>
      </c>
      <c r="K408" s="200">
        <f t="shared" si="185"/>
        <v>0</v>
      </c>
      <c r="L408" s="294">
        <f t="shared" si="188"/>
        <v>0</v>
      </c>
      <c r="M408" s="294">
        <f t="shared" si="186"/>
        <v>0</v>
      </c>
      <c r="N408" s="186">
        <f t="shared" si="187"/>
        <v>0</v>
      </c>
      <c r="O408" s="201" t="str">
        <f>IFERROR(ROUND(N408/'Direct Prof Sal &amp; Fringes  '!$L$8,8),"")</f>
        <v/>
      </c>
      <c r="P408" s="186" t="str">
        <f>IF(ISBLANK(O408),"",IFERROR(ROUND(O408*' Indirect Non-prof Sal &amp; Fringe'!$M$42,0),""))</f>
        <v/>
      </c>
      <c r="Q408" s="186" t="str">
        <f>IF(ISBLANK(O408),"",IFERROR(ROUND(O408*'Direct and Indirect Expenses'!$K$20,0),""))</f>
        <v/>
      </c>
      <c r="R408" s="309">
        <f>IFERROR(SUMIF('Direct and Indirect Expenses'!$B$14:$B$34,'Financial Summary &amp; Stats'!B408,'Direct and Indirect Expenses'!$H$14:$H$34)*N408/SUMIF('Financial Summary &amp; Stats'!$B:$B,'Financial Summary &amp; Stats'!B408,'Financial Summary &amp; Stats'!$N:$N),0)</f>
        <v>0</v>
      </c>
      <c r="S408" s="595"/>
      <c r="T408" s="202">
        <f>IFERROR(IF('Direct and Indirect Expenses'!$A$9="Other Indirect Allocation Method",(ROUND((N408+P408)/($N$8+$P$8)*'Direct and Indirect Expenses'!$C$9,0)),ROUND((N408+P408)*'Direct and Indirect Expenses'!$B$9,0)),0)</f>
        <v>0</v>
      </c>
      <c r="U408" s="202">
        <f t="shared" si="189"/>
        <v>0</v>
      </c>
      <c r="V408" s="293" t="str">
        <f t="shared" si="190"/>
        <v/>
      </c>
      <c r="Y408" s="128"/>
    </row>
    <row r="409" spans="1:25" ht="20.100000000000001" customHeight="1" x14ac:dyDescent="0.2">
      <c r="A409" s="171"/>
      <c r="B409" s="172"/>
      <c r="C409" s="172"/>
      <c r="D409" s="173"/>
      <c r="E409" s="173"/>
      <c r="F409" s="174"/>
      <c r="G409" s="179"/>
      <c r="H409" s="175"/>
      <c r="I409" s="176"/>
      <c r="J409" s="176"/>
      <c r="K409" s="178"/>
      <c r="L409" s="296"/>
      <c r="M409" s="296"/>
      <c r="N409" s="302"/>
      <c r="O409" s="177"/>
      <c r="P409" s="177"/>
      <c r="Q409" s="177"/>
      <c r="R409" s="302"/>
      <c r="S409" s="302"/>
      <c r="T409" s="193"/>
      <c r="U409" s="193"/>
      <c r="V409" s="191"/>
      <c r="Y409" s="128"/>
    </row>
    <row r="410" spans="1:25" ht="20.100000000000001" customHeight="1" x14ac:dyDescent="0.2">
      <c r="A410" s="171"/>
      <c r="B410" s="172"/>
      <c r="C410" s="172"/>
      <c r="D410" s="173"/>
      <c r="E410" s="173"/>
      <c r="F410" s="174"/>
      <c r="G410" s="179"/>
      <c r="H410" s="175"/>
      <c r="I410" s="176"/>
      <c r="J410" s="176"/>
      <c r="K410" s="178"/>
      <c r="L410" s="296"/>
      <c r="M410" s="296"/>
      <c r="N410" s="302"/>
      <c r="O410" s="177"/>
      <c r="P410" s="177"/>
      <c r="Q410" s="177"/>
      <c r="R410" s="302"/>
      <c r="S410" s="302"/>
      <c r="T410" s="193"/>
      <c r="U410" s="193"/>
      <c r="V410" s="191"/>
      <c r="Y410" s="128"/>
    </row>
    <row r="411" spans="1:25" ht="20.100000000000001" customHeight="1" x14ac:dyDescent="0.25">
      <c r="A411" s="289" t="s">
        <v>101</v>
      </c>
      <c r="B411" s="122"/>
      <c r="C411" s="122"/>
      <c r="D411" s="123"/>
      <c r="E411" s="123"/>
      <c r="F411" s="130"/>
      <c r="G411" s="180"/>
      <c r="H411" s="159"/>
      <c r="I411" s="125"/>
      <c r="J411" s="126"/>
      <c r="K411" s="127"/>
      <c r="L411" s="295"/>
      <c r="M411" s="295"/>
      <c r="N411" s="186"/>
      <c r="O411" s="121"/>
      <c r="P411" s="121"/>
      <c r="Q411" s="186"/>
      <c r="R411" s="186"/>
      <c r="S411" s="186"/>
      <c r="T411" s="186"/>
      <c r="U411" s="186"/>
      <c r="V411" s="293"/>
      <c r="Y411" s="128"/>
    </row>
    <row r="412" spans="1:25" ht="20.100000000000001" customHeight="1" x14ac:dyDescent="0.2">
      <c r="A412" s="129" t="s">
        <v>117</v>
      </c>
      <c r="B412" s="131">
        <v>96101</v>
      </c>
      <c r="C412" s="131"/>
      <c r="D412" s="123" t="str">
        <f t="array" ref="D412">IFERROR(INDEX('Crosswalk '!$C$9:$C$94,MATCH(1,(B412='Crosswalk '!$B$9:$B$94)*(E412='Crosswalk '!$G$9:$G$94),0)),"")</f>
        <v/>
      </c>
      <c r="E412" s="291" t="str">
        <f t="array" ref="E412">IFERROR(INDEX('Crosswalk '!$E$106:$E$125,MATCH(1,($A$380='Crosswalk '!$D$106:$D$125)*($C412='Crosswalk '!$F$106:$F$125),0)),"")</f>
        <v/>
      </c>
      <c r="F412" s="485"/>
      <c r="G412" s="181"/>
      <c r="H412" s="159" t="str">
        <f t="array" ref="H412">IFERROR(INDEX('Crosswalk '!$E$9:$E$103,MATCH(1,($B412='Crosswalk '!$B$9:$B$103)*($E412='Crosswalk '!$G$9:$G$103),0)),"")</f>
        <v/>
      </c>
      <c r="I412" s="125">
        <f t="shared" ref="I412:I414" si="193">IFERROR(ROUND(F412*H412,2),0)</f>
        <v>0</v>
      </c>
      <c r="J412" s="126" t="str">
        <f t="shared" ref="J412:J414" si="194">IF(ISTEXT(H412),"",IFERROR(ROUND(I412+G412,2),""))</f>
        <v/>
      </c>
      <c r="K412" s="200">
        <f t="shared" ref="K412:K414" si="195">IF(ISERROR(J412/$J$419),0,ROUND(J412/$J$419,8))</f>
        <v>0</v>
      </c>
      <c r="L412" s="294">
        <f t="shared" ref="L412:L414" si="196">ROUND(K412*$B$382,0)</f>
        <v>0</v>
      </c>
      <c r="M412" s="294">
        <f t="shared" ref="M412:M414" si="197">IFERROR(ROUND(L412/$L$419*$M$419,0),0)</f>
        <v>0</v>
      </c>
      <c r="N412" s="186">
        <f t="shared" ref="N412:N414" si="198">ROUND(L412+M412,0)</f>
        <v>0</v>
      </c>
      <c r="O412" s="201" t="str">
        <f>IFERROR(ROUND(N412/'Direct Prof Sal &amp; Fringes  '!$L$8,8),"")</f>
        <v/>
      </c>
      <c r="P412" s="186" t="str">
        <f>IF(ISBLANK(O412),"",IFERROR(ROUND(O412*' Indirect Non-prof Sal &amp; Fringe'!$M$42,0),""))</f>
        <v/>
      </c>
      <c r="Q412" s="186" t="str">
        <f>IF(ISBLANK(O412),"",IFERROR(ROUND(O412*'Direct and Indirect Expenses'!$K$20,0),""))</f>
        <v/>
      </c>
      <c r="R412" s="309">
        <f>IFERROR(SUMIF('Direct and Indirect Expenses'!$B$14:$B$34,'Financial Summary &amp; Stats'!B412,'Direct and Indirect Expenses'!$H$14:$H$34)*N412/SUMIF('Financial Summary &amp; Stats'!$B:$B,'Financial Summary &amp; Stats'!B412,'Financial Summary &amp; Stats'!$N:$N),0)</f>
        <v>0</v>
      </c>
      <c r="S412" s="595"/>
      <c r="T412" s="202">
        <f>IFERROR(IF('Direct and Indirect Expenses'!$A$9="Other Indirect Allocation Method",(ROUND((N412+P412)/($N$8+$P$8)*'Direct and Indirect Expenses'!$C$9,0)),ROUND((N412+P412)*'Direct and Indirect Expenses'!$B$9,0)),0)</f>
        <v>0</v>
      </c>
      <c r="U412" s="202">
        <f t="shared" ref="U412:U414" si="199">IFERROR(ROUND((T412+R412+Q412+P412+N412),0),0)</f>
        <v>0</v>
      </c>
      <c r="V412" s="293" t="str">
        <f t="shared" ref="V412:V414" si="200">IFERROR(ROUND(U412/F412,2),"")</f>
        <v/>
      </c>
      <c r="Y412" s="128"/>
    </row>
    <row r="413" spans="1:25" ht="20.100000000000001" customHeight="1" x14ac:dyDescent="0.2">
      <c r="A413" s="129" t="s">
        <v>122</v>
      </c>
      <c r="B413" s="132" t="s">
        <v>120</v>
      </c>
      <c r="C413" s="132"/>
      <c r="D413" s="123" t="str">
        <f t="array" ref="D413">IFERROR(INDEX('Crosswalk '!$C$9:$C$94,MATCH(1,(B413='Crosswalk '!$B$9:$B$94)*(E413='Crosswalk '!$G$9:$G$94),0)),"")</f>
        <v/>
      </c>
      <c r="E413" s="123"/>
      <c r="F413" s="485"/>
      <c r="G413" s="181"/>
      <c r="H413" s="159">
        <f t="array" ref="H413">IFERROR(INDEX('Crosswalk '!$E$9:$E$103,MATCH(1,($B413='Crosswalk '!$B$9:$B$103)*($E413='Crosswalk '!$G$9:$G$103),0)),"")</f>
        <v>0.25</v>
      </c>
      <c r="I413" s="125">
        <f t="shared" si="193"/>
        <v>0</v>
      </c>
      <c r="J413" s="126">
        <f t="shared" si="194"/>
        <v>0</v>
      </c>
      <c r="K413" s="200">
        <f t="shared" si="195"/>
        <v>0</v>
      </c>
      <c r="L413" s="294">
        <f t="shared" si="196"/>
        <v>0</v>
      </c>
      <c r="M413" s="294">
        <f t="shared" si="197"/>
        <v>0</v>
      </c>
      <c r="N413" s="186">
        <f t="shared" si="198"/>
        <v>0</v>
      </c>
      <c r="O413" s="201" t="str">
        <f>IFERROR(ROUND(N413/'Direct Prof Sal &amp; Fringes  '!$L$8,8),"")</f>
        <v/>
      </c>
      <c r="P413" s="186" t="str">
        <f>IF(ISBLANK(O413),"",IFERROR(ROUND(O413*' Indirect Non-prof Sal &amp; Fringe'!$M$42,0),""))</f>
        <v/>
      </c>
      <c r="Q413" s="186" t="str">
        <f>IF(ISBLANK(O413),"",IFERROR(ROUND(O413*'Direct and Indirect Expenses'!$K$20,0),""))</f>
        <v/>
      </c>
      <c r="R413" s="309">
        <f>IFERROR(SUMIF('Direct and Indirect Expenses'!$B$14:$B$34,'Financial Summary &amp; Stats'!B413,'Direct and Indirect Expenses'!$H$14:$H$34)*N413/SUMIF('Financial Summary &amp; Stats'!$B:$B,'Financial Summary &amp; Stats'!B413,'Financial Summary &amp; Stats'!$N:$N),0)</f>
        <v>0</v>
      </c>
      <c r="S413" s="595"/>
      <c r="T413" s="202">
        <f>IFERROR(IF('Direct and Indirect Expenses'!$A$9="Other Indirect Allocation Method",(ROUND((N413+P413)/($N$8+$P$8)*'Direct and Indirect Expenses'!$C$9,0)),ROUND((N413+P413)*'Direct and Indirect Expenses'!$B$9,0)),0)</f>
        <v>0</v>
      </c>
      <c r="U413" s="202">
        <f t="shared" si="199"/>
        <v>0</v>
      </c>
      <c r="V413" s="293" t="str">
        <f t="shared" si="200"/>
        <v/>
      </c>
      <c r="Y413" s="128"/>
    </row>
    <row r="414" spans="1:25" ht="20.100000000000001" customHeight="1" x14ac:dyDescent="0.2">
      <c r="A414" s="129" t="s">
        <v>123</v>
      </c>
      <c r="B414" s="132" t="s">
        <v>121</v>
      </c>
      <c r="C414" s="132"/>
      <c r="D414" s="123" t="str">
        <f t="array" ref="D414">IFERROR(INDEX('Crosswalk '!$C$9:$C$94,MATCH(1,(B414='Crosswalk '!$B$9:$B$94)*(E414='Crosswalk '!$G$9:$G$94),0)),"")</f>
        <v/>
      </c>
      <c r="E414" s="123"/>
      <c r="F414" s="485"/>
      <c r="G414" s="181"/>
      <c r="H414" s="159">
        <f t="array" ref="H414">IFERROR(INDEX('Crosswalk '!$E$9:$E$103,MATCH(1,($B414='Crosswalk '!$B$9:$B$103)*($E414='Crosswalk '!$G$9:$G$103),0)),"")</f>
        <v>0.25</v>
      </c>
      <c r="I414" s="125">
        <f t="shared" si="193"/>
        <v>0</v>
      </c>
      <c r="J414" s="126">
        <f t="shared" si="194"/>
        <v>0</v>
      </c>
      <c r="K414" s="200">
        <f t="shared" si="195"/>
        <v>0</v>
      </c>
      <c r="L414" s="294">
        <f t="shared" si="196"/>
        <v>0</v>
      </c>
      <c r="M414" s="294">
        <f t="shared" si="197"/>
        <v>0</v>
      </c>
      <c r="N414" s="186">
        <f t="shared" si="198"/>
        <v>0</v>
      </c>
      <c r="O414" s="201" t="str">
        <f>IFERROR(ROUND(N414/'Direct Prof Sal &amp; Fringes  '!$L$8,8),"")</f>
        <v/>
      </c>
      <c r="P414" s="186" t="str">
        <f>IF(ISBLANK(O414),"",IFERROR(ROUND(O414*' Indirect Non-prof Sal &amp; Fringe'!$M$42,0),""))</f>
        <v/>
      </c>
      <c r="Q414" s="186" t="str">
        <f>IF(ISBLANK(O414),"",IFERROR(ROUND(O414*'Direct and Indirect Expenses'!$K$20,0),""))</f>
        <v/>
      </c>
      <c r="R414" s="309">
        <f>IFERROR(SUMIF('Direct and Indirect Expenses'!$B$14:$B$34,'Financial Summary &amp; Stats'!B414,'Direct and Indirect Expenses'!$H$14:$H$34)*N414/SUMIF('Financial Summary &amp; Stats'!$B:$B,'Financial Summary &amp; Stats'!B414,'Financial Summary &amp; Stats'!$N:$N),0)</f>
        <v>0</v>
      </c>
      <c r="S414" s="595"/>
      <c r="T414" s="202">
        <f>IFERROR(IF('Direct and Indirect Expenses'!$A$9="Other Indirect Allocation Method",(ROUND((N414+P414)/($N$8+$P$8)*'Direct and Indirect Expenses'!$C$9,0)),ROUND((N414+P414)*'Direct and Indirect Expenses'!$B$9,0)),0)</f>
        <v>0</v>
      </c>
      <c r="U414" s="202">
        <f t="shared" si="199"/>
        <v>0</v>
      </c>
      <c r="V414" s="293" t="str">
        <f t="shared" si="200"/>
        <v/>
      </c>
      <c r="Y414" s="128"/>
    </row>
    <row r="415" spans="1:25" ht="20.100000000000001" customHeight="1" x14ac:dyDescent="0.2">
      <c r="A415" s="161"/>
      <c r="B415" s="162"/>
      <c r="C415" s="162"/>
      <c r="D415" s="163"/>
      <c r="E415" s="163"/>
      <c r="F415" s="164"/>
      <c r="G415" s="181"/>
      <c r="H415" s="165"/>
      <c r="I415" s="166"/>
      <c r="J415" s="167"/>
      <c r="K415" s="169"/>
      <c r="L415" s="297"/>
      <c r="M415" s="297"/>
      <c r="N415" s="193"/>
      <c r="O415" s="168"/>
      <c r="P415" s="168"/>
      <c r="Q415" s="168"/>
      <c r="R415" s="193"/>
      <c r="S415" s="193"/>
      <c r="T415" s="193"/>
      <c r="U415" s="193"/>
      <c r="V415" s="191"/>
      <c r="Y415" s="128"/>
    </row>
    <row r="416" spans="1:25" ht="20.100000000000001" customHeight="1" x14ac:dyDescent="0.2">
      <c r="A416" s="161"/>
      <c r="B416" s="170"/>
      <c r="C416" s="170"/>
      <c r="D416" s="163"/>
      <c r="E416" s="163"/>
      <c r="F416" s="164"/>
      <c r="G416" s="181"/>
      <c r="H416" s="165"/>
      <c r="I416" s="166"/>
      <c r="J416" s="167"/>
      <c r="K416" s="169"/>
      <c r="L416" s="297"/>
      <c r="M416" s="297"/>
      <c r="N416" s="303"/>
      <c r="O416" s="168"/>
      <c r="P416" s="168"/>
      <c r="Q416" s="168"/>
      <c r="R416" s="193"/>
      <c r="S416" s="193"/>
      <c r="T416" s="193"/>
      <c r="U416" s="193"/>
      <c r="V416" s="191"/>
      <c r="Y416" s="128"/>
    </row>
    <row r="417" spans="1:25" ht="20.100000000000001" customHeight="1" x14ac:dyDescent="0.2">
      <c r="A417" s="129" t="s">
        <v>31</v>
      </c>
      <c r="B417" s="133"/>
      <c r="C417" s="133"/>
      <c r="D417" s="123"/>
      <c r="E417" s="123"/>
      <c r="F417" s="130"/>
      <c r="G417" s="180"/>
      <c r="H417" s="124"/>
      <c r="I417" s="120"/>
      <c r="J417" s="183">
        <f>B381-ROUND(SUM(J386:J408)+SUM(J412:J414),2)</f>
        <v>0</v>
      </c>
      <c r="K417" s="127">
        <f>IF(ISERROR(J417/$J$419),0,ROUND(J417/$J$419,8))</f>
        <v>0</v>
      </c>
      <c r="L417" s="297"/>
      <c r="M417" s="297"/>
      <c r="N417" s="303"/>
      <c r="O417" s="168"/>
      <c r="P417" s="168"/>
      <c r="Q417" s="168"/>
      <c r="R417" s="193"/>
      <c r="S417" s="193"/>
      <c r="T417" s="193"/>
      <c r="U417" s="193"/>
      <c r="V417" s="191"/>
      <c r="Y417" s="128"/>
    </row>
    <row r="418" spans="1:25" ht="20.100000000000001" customHeight="1" x14ac:dyDescent="0.2">
      <c r="A418" s="129"/>
      <c r="B418" s="133"/>
      <c r="C418" s="133"/>
      <c r="D418" s="123"/>
      <c r="E418" s="123"/>
      <c r="F418" s="130"/>
      <c r="G418" s="180"/>
      <c r="H418" s="124"/>
      <c r="I418" s="125"/>
      <c r="J418" s="126"/>
      <c r="K418" s="127"/>
      <c r="L418" s="297"/>
      <c r="M418" s="297"/>
      <c r="N418" s="303"/>
      <c r="O418" s="168"/>
      <c r="P418" s="168"/>
      <c r="Q418" s="168"/>
      <c r="R418" s="193"/>
      <c r="S418" s="193"/>
      <c r="T418" s="193"/>
      <c r="U418" s="193"/>
      <c r="V418" s="191"/>
      <c r="Y418" s="128"/>
    </row>
    <row r="419" spans="1:25" ht="20.100000000000001" customHeight="1" x14ac:dyDescent="0.2">
      <c r="A419" s="129" t="s">
        <v>38</v>
      </c>
      <c r="B419" s="133"/>
      <c r="C419" s="133"/>
      <c r="D419" s="123"/>
      <c r="E419" s="123"/>
      <c r="F419" s="134">
        <f>SUM(F386:F418)</f>
        <v>0</v>
      </c>
      <c r="G419" s="182">
        <f>ROUND(SUM(G386:G418),2)</f>
        <v>0</v>
      </c>
      <c r="H419" s="119"/>
      <c r="I419" s="125">
        <f>ROUND(SUM(I386:I418),2)</f>
        <v>0</v>
      </c>
      <c r="J419" s="126">
        <f>IFERROR(SUM(J386:J417),"")</f>
        <v>0</v>
      </c>
      <c r="K419" s="121">
        <f>ROUND(SUM(K386:K418),4)</f>
        <v>0</v>
      </c>
      <c r="L419" s="298">
        <f>ROUND(SUM(L386:L418),0)</f>
        <v>0</v>
      </c>
      <c r="M419" s="295">
        <f>ROUND(K417*$B$382,0)</f>
        <v>0</v>
      </c>
      <c r="N419" s="194">
        <f>ROUND(SUM(N386:N418),0)</f>
        <v>0</v>
      </c>
      <c r="O419" s="201" t="str">
        <f t="shared" ref="O419" si="201">IFERROR(ROUND(N419/$N$8,4),"")</f>
        <v/>
      </c>
      <c r="P419" s="135">
        <f t="shared" ref="P419:U419" si="202">ROUND(SUM(P386:P418),0)</f>
        <v>0</v>
      </c>
      <c r="Q419" s="135">
        <f t="shared" si="202"/>
        <v>0</v>
      </c>
      <c r="R419" s="194">
        <f t="shared" si="202"/>
        <v>0</v>
      </c>
      <c r="S419" s="194">
        <f t="shared" si="202"/>
        <v>0</v>
      </c>
      <c r="T419" s="194">
        <f t="shared" si="202"/>
        <v>0</v>
      </c>
      <c r="U419" s="194">
        <f t="shared" si="202"/>
        <v>0</v>
      </c>
      <c r="V419" s="190" t="str">
        <f>IFERROR(AVERAGE(V386:V408,V411:V414),"")</f>
        <v/>
      </c>
    </row>
    <row r="420" spans="1:25" ht="20.100000000000001" customHeight="1" x14ac:dyDescent="0.25">
      <c r="A420" s="152"/>
      <c r="B420" s="153"/>
      <c r="C420" s="153"/>
      <c r="D420" s="154"/>
      <c r="E420" s="153"/>
      <c r="F420" s="153"/>
      <c r="G420" s="154"/>
      <c r="H420" s="156"/>
      <c r="I420" s="155"/>
      <c r="J420" s="153"/>
      <c r="K420" s="156"/>
      <c r="L420" s="301"/>
      <c r="M420" s="306"/>
      <c r="N420" s="307"/>
      <c r="O420" s="137"/>
      <c r="P420" s="137"/>
      <c r="Q420" s="137"/>
      <c r="R420" s="195"/>
      <c r="S420" s="195"/>
    </row>
    <row r="421" spans="1:25" ht="20.100000000000001" customHeight="1" x14ac:dyDescent="0.2">
      <c r="F421" s="192"/>
      <c r="G421" s="192"/>
      <c r="L421" s="192"/>
      <c r="M421" s="192"/>
      <c r="O421" s="192"/>
      <c r="P421" s="192"/>
      <c r="Q421" s="192"/>
    </row>
    <row r="422" spans="1:25" ht="20.100000000000001" customHeight="1" x14ac:dyDescent="0.2">
      <c r="P422" s="192"/>
    </row>
  </sheetData>
  <sheetProtection algorithmName="SHA-512" hashValue="BI0971y/yStB+hTTtfAroj3a4uqze98apofr2mUSnyObgvxvP7lfdDG3cQGk3H1HXSB151bDvc4vCTYQcAkZbQ==" saltValue="Em/B1IJBUcv6VDHYKroB7Q==" spinCount="100000" sheet="1" objects="1" scenarios="1"/>
  <mergeCells count="15">
    <mergeCell ref="A380:V380"/>
    <mergeCell ref="A4:V4"/>
    <mergeCell ref="A1:V1"/>
    <mergeCell ref="A2:V2"/>
    <mergeCell ref="A3:V3"/>
    <mergeCell ref="A5:V5"/>
    <mergeCell ref="A11:V11"/>
    <mergeCell ref="A52:V52"/>
    <mergeCell ref="A93:V93"/>
    <mergeCell ref="A134:V134"/>
    <mergeCell ref="A175:V175"/>
    <mergeCell ref="A216:V216"/>
    <mergeCell ref="A257:V257"/>
    <mergeCell ref="A298:V298"/>
    <mergeCell ref="A339:V339"/>
  </mergeCells>
  <pageMargins left="0.2" right="0.2" top="0.25" bottom="0.5" header="0.25" footer="0.25"/>
  <pageSetup paperSize="5" scale="47" orientation="landscape" r:id="rId1"/>
  <headerFooter>
    <oddFooter>&amp;L&amp;A
&amp;D</oddFooter>
  </headerFooter>
  <rowBreaks count="9" manualBreakCount="9">
    <brk id="51" max="20" man="1"/>
    <brk id="92" max="20" man="1"/>
    <brk id="133" max="19" man="1"/>
    <brk id="174" max="19" man="1"/>
    <brk id="215" max="19" man="1"/>
    <brk id="256" max="19" man="1"/>
    <brk id="297" max="19" man="1"/>
    <brk id="338" max="19" man="1"/>
    <brk id="379" max="1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44"/>
  <sheetViews>
    <sheetView zoomScaleNormal="100" workbookViewId="0">
      <selection activeCell="I11" sqref="I11"/>
    </sheetView>
  </sheetViews>
  <sheetFormatPr defaultColWidth="9.28515625" defaultRowHeight="12.75" x14ac:dyDescent="0.2"/>
  <cols>
    <col min="1" max="1" width="3.7109375" style="22" customWidth="1"/>
    <col min="2" max="2" width="53.7109375" style="22" bestFit="1" customWidth="1"/>
    <col min="3" max="3" width="12.140625" style="22" bestFit="1" customWidth="1"/>
    <col min="4" max="4" width="16.28515625" style="78" bestFit="1" customWidth="1"/>
    <col min="5" max="5" width="13.28515625" style="22" bestFit="1" customWidth="1"/>
    <col min="6" max="6" width="10.5703125" style="22" bestFit="1" customWidth="1"/>
    <col min="7" max="7" width="10" style="30" bestFit="1" customWidth="1"/>
    <col min="8" max="8" width="10.85546875" style="362" bestFit="1" customWidth="1"/>
    <col min="9" max="9" width="14.42578125" style="40" bestFit="1" customWidth="1"/>
    <col min="10" max="10" width="14.42578125" style="356" bestFit="1" customWidth="1"/>
    <col min="11" max="11" width="20.7109375" style="356" customWidth="1"/>
    <col min="12" max="12" width="12.7109375" style="356" bestFit="1" customWidth="1"/>
    <col min="13" max="13" width="21.85546875" style="30" bestFit="1" customWidth="1"/>
    <col min="14" max="14" width="9.28515625" style="22"/>
    <col min="15" max="16" width="13.42578125" style="22" bestFit="1" customWidth="1"/>
    <col min="17" max="16384" width="9.28515625" style="22"/>
  </cols>
  <sheetData>
    <row r="1" spans="1:13" ht="26.25" customHeight="1" x14ac:dyDescent="0.25">
      <c r="B1" s="640" t="s">
        <v>66</v>
      </c>
      <c r="C1" s="641"/>
      <c r="D1" s="641"/>
      <c r="E1" s="641"/>
      <c r="F1" s="641"/>
      <c r="G1" s="641"/>
      <c r="H1" s="641"/>
      <c r="I1" s="641"/>
      <c r="J1" s="678"/>
      <c r="K1" s="678"/>
      <c r="L1" s="678"/>
      <c r="M1" s="678"/>
    </row>
    <row r="2" spans="1:13" ht="17.25" customHeight="1" x14ac:dyDescent="0.25">
      <c r="B2" s="679" t="s">
        <v>210</v>
      </c>
      <c r="C2" s="641"/>
      <c r="D2" s="641"/>
      <c r="E2" s="641"/>
      <c r="F2" s="641"/>
      <c r="G2" s="641"/>
      <c r="H2" s="641"/>
      <c r="I2" s="641"/>
      <c r="J2" s="678"/>
      <c r="K2" s="678"/>
      <c r="L2" s="678"/>
      <c r="M2" s="678"/>
    </row>
    <row r="3" spans="1:13" ht="15.75" customHeight="1" x14ac:dyDescent="0.25">
      <c r="B3" s="680" t="str">
        <f>IF(ISBLANK('General Information'!B10),"",+'General Information'!B10)</f>
        <v/>
      </c>
      <c r="C3" s="641"/>
      <c r="D3" s="641"/>
      <c r="E3" s="641"/>
      <c r="F3" s="641"/>
      <c r="G3" s="641"/>
      <c r="H3" s="641"/>
      <c r="I3" s="641"/>
      <c r="J3" s="678"/>
      <c r="K3" s="678"/>
      <c r="L3" s="678"/>
      <c r="M3" s="678"/>
    </row>
    <row r="4" spans="1:13" ht="17.25" customHeight="1" x14ac:dyDescent="0.25">
      <c r="B4" s="647" t="s">
        <v>207</v>
      </c>
      <c r="C4" s="678"/>
      <c r="D4" s="678"/>
      <c r="E4" s="678"/>
      <c r="F4" s="678"/>
      <c r="G4" s="678"/>
      <c r="H4" s="678"/>
      <c r="I4" s="678"/>
      <c r="J4" s="678"/>
      <c r="K4" s="678"/>
      <c r="L4" s="678"/>
      <c r="M4" s="678"/>
    </row>
    <row r="5" spans="1:13" ht="16.5" customHeight="1" x14ac:dyDescent="0.25">
      <c r="B5" s="681">
        <f>+'General Information'!B6</f>
        <v>0</v>
      </c>
      <c r="C5" s="682"/>
      <c r="D5" s="682"/>
      <c r="E5" s="682"/>
      <c r="F5" s="682"/>
      <c r="G5" s="682"/>
      <c r="H5" s="682"/>
      <c r="I5" s="682"/>
      <c r="J5" s="678"/>
      <c r="K5" s="678"/>
      <c r="L5" s="678"/>
      <c r="M5" s="678"/>
    </row>
    <row r="6" spans="1:13" ht="12" customHeight="1" x14ac:dyDescent="0.2">
      <c r="B6" s="287"/>
      <c r="C6" s="280"/>
      <c r="D6" s="280"/>
      <c r="E6" s="280"/>
      <c r="F6" s="280"/>
      <c r="G6" s="280"/>
      <c r="H6" s="280"/>
      <c r="I6" s="280"/>
    </row>
    <row r="7" spans="1:13" s="50" customFormat="1" ht="17.25" customHeight="1" x14ac:dyDescent="0.2">
      <c r="B7" s="676" t="s">
        <v>49</v>
      </c>
      <c r="C7" s="677"/>
      <c r="D7" s="79" t="s">
        <v>50</v>
      </c>
      <c r="E7" s="28" t="s">
        <v>51</v>
      </c>
      <c r="F7" s="28" t="s">
        <v>52</v>
      </c>
      <c r="G7" s="23" t="s">
        <v>53</v>
      </c>
      <c r="H7" s="363" t="s">
        <v>54</v>
      </c>
      <c r="I7" s="28" t="s">
        <v>55</v>
      </c>
      <c r="J7" s="357" t="s">
        <v>56</v>
      </c>
      <c r="K7" s="357" t="s">
        <v>57</v>
      </c>
      <c r="L7" s="357" t="s">
        <v>58</v>
      </c>
      <c r="M7" s="28" t="s">
        <v>59</v>
      </c>
    </row>
    <row r="8" spans="1:13" s="50" customFormat="1" ht="18" customHeight="1" x14ac:dyDescent="0.2">
      <c r="B8" s="23"/>
      <c r="C8" s="23"/>
      <c r="D8" s="80"/>
      <c r="E8" s="23"/>
      <c r="F8" s="28"/>
      <c r="G8" s="23"/>
      <c r="H8" s="364"/>
      <c r="I8" s="28" t="s">
        <v>60</v>
      </c>
      <c r="J8" s="358" t="s">
        <v>208</v>
      </c>
      <c r="K8" s="357" t="s">
        <v>60</v>
      </c>
      <c r="L8" s="357" t="s">
        <v>60</v>
      </c>
      <c r="M8" s="23" t="s">
        <v>209</v>
      </c>
    </row>
    <row r="9" spans="1:13" ht="36.75" customHeight="1" x14ac:dyDescent="0.2">
      <c r="B9" s="24" t="s">
        <v>39</v>
      </c>
      <c r="C9" s="52" t="s">
        <v>27</v>
      </c>
      <c r="D9" s="23" t="s">
        <v>42</v>
      </c>
      <c r="E9" s="23" t="s">
        <v>100</v>
      </c>
      <c r="F9" s="27" t="s">
        <v>43</v>
      </c>
      <c r="G9" s="43" t="s">
        <v>23</v>
      </c>
      <c r="H9" s="365" t="s">
        <v>44</v>
      </c>
      <c r="I9" s="44" t="s">
        <v>46</v>
      </c>
      <c r="J9" s="358" t="s">
        <v>48</v>
      </c>
      <c r="K9" s="358" t="s">
        <v>61</v>
      </c>
      <c r="L9" s="358" t="s">
        <v>47</v>
      </c>
      <c r="M9" s="45" t="s">
        <v>69</v>
      </c>
    </row>
    <row r="10" spans="1:13" ht="20.100000000000001" customHeight="1" x14ac:dyDescent="0.2">
      <c r="B10" s="369" t="s">
        <v>68</v>
      </c>
      <c r="C10" s="38"/>
      <c r="D10" s="81"/>
      <c r="E10" s="34"/>
      <c r="F10" s="39"/>
      <c r="G10" s="35"/>
      <c r="H10" s="366"/>
      <c r="I10" s="41"/>
      <c r="J10" s="359"/>
      <c r="K10" s="359"/>
      <c r="L10" s="359"/>
      <c r="M10" s="35"/>
    </row>
    <row r="11" spans="1:13" ht="20.100000000000001" customHeight="1" x14ac:dyDescent="0.2">
      <c r="A11" s="22">
        <v>1</v>
      </c>
      <c r="B11" s="618" t="str">
        <f>IF(+'Service Paid by Medicaid'!A15="","",+'Service Paid by Medicaid'!B15)</f>
        <v/>
      </c>
      <c r="C11" s="618" t="str">
        <f>IF('Service Paid by Medicaid'!C15="","",'Service Paid by Medicaid'!C15)</f>
        <v/>
      </c>
      <c r="D11" s="82" t="str">
        <f>IF('Service Paid by Medicaid'!D15="","",'Service Paid by Medicaid'!D15)</f>
        <v/>
      </c>
      <c r="E11" s="618" t="str">
        <f>IF('Service Paid by Medicaid'!E15="","",'Service Paid by Medicaid'!E15)</f>
        <v/>
      </c>
      <c r="F11" s="619" t="str">
        <f>IF(AND($D11=""),"",SUMIFS('Financial Summary &amp; Stats'!$F:$F,'Financial Summary &amp; Stats'!$B:$B,'Settlement Calculation'!$D11,'Financial Summary &amp; Stats'!$E:$E,'Settlement Calculation'!$C11))</f>
        <v/>
      </c>
      <c r="G11" s="620" t="str">
        <f>IF(AND($D11=""),"",SUMIFS('Financial Summary &amp; Stats'!$U:$U,'Financial Summary &amp; Stats'!$B:$B,'Settlement Calculation'!$D11,'Financial Summary &amp; Stats'!$E:$E,'Settlement Calculation'!$C11))</f>
        <v/>
      </c>
      <c r="H11" s="621" t="str">
        <f>IF(AND($D11=""),"",SUMIFS('Financial Summary &amp; Stats'!$V:$V,'Financial Summary &amp; Stats'!$B:$B,'Settlement Calculation'!$D11,'Financial Summary &amp; Stats'!$E:$E,'Settlement Calculation'!$C11))</f>
        <v/>
      </c>
      <c r="I11" s="622"/>
      <c r="J11" s="623" t="str">
        <f t="shared" ref="J11:J16" si="0">IFERROR(ROUND(H11*I11,0),"")</f>
        <v/>
      </c>
      <c r="K11" s="624"/>
      <c r="L11" s="624"/>
      <c r="M11" s="623" t="str">
        <f>IFERROR(ROUND(J11-K11-L11,0),"")</f>
        <v/>
      </c>
    </row>
    <row r="12" spans="1:13" ht="20.100000000000001" customHeight="1" x14ac:dyDescent="0.2">
      <c r="A12" s="22">
        <f>+A11+1</f>
        <v>2</v>
      </c>
      <c r="B12" s="618" t="str">
        <f>IF(+'Service Paid by Medicaid'!A16="","",+'Service Paid by Medicaid'!B16)</f>
        <v/>
      </c>
      <c r="C12" s="618" t="str">
        <f>IF('Service Paid by Medicaid'!C16="","",'Service Paid by Medicaid'!C16)</f>
        <v/>
      </c>
      <c r="D12" s="82" t="str">
        <f>IF('Service Paid by Medicaid'!D16="","",'Service Paid by Medicaid'!D16)</f>
        <v/>
      </c>
      <c r="E12" s="618" t="str">
        <f>IF('Service Paid by Medicaid'!E16="","",'Service Paid by Medicaid'!E16)</f>
        <v/>
      </c>
      <c r="F12" s="619" t="str">
        <f>IF(AND($D12=""),"",SUMIFS('Financial Summary &amp; Stats'!$F:$F,'Financial Summary &amp; Stats'!$B:$B,'Settlement Calculation'!$D12,'Financial Summary &amp; Stats'!$E:$E,'Settlement Calculation'!$C12))</f>
        <v/>
      </c>
      <c r="G12" s="620" t="str">
        <f>IF(AND($D12=""),"",SUMIFS('Financial Summary &amp; Stats'!$U:$U,'Financial Summary &amp; Stats'!$B:$B,'Settlement Calculation'!$D12,'Financial Summary &amp; Stats'!$E:$E,'Settlement Calculation'!$C12))</f>
        <v/>
      </c>
      <c r="H12" s="621" t="str">
        <f>IF(AND($D12=""),"",SUMIFS('Financial Summary &amp; Stats'!$V:$V,'Financial Summary &amp; Stats'!$B:$B,'Settlement Calculation'!$D12,'Financial Summary &amp; Stats'!$E:$E,'Settlement Calculation'!$C12))</f>
        <v/>
      </c>
      <c r="I12" s="622"/>
      <c r="J12" s="623" t="str">
        <f t="shared" si="0"/>
        <v/>
      </c>
      <c r="K12" s="624"/>
      <c r="L12" s="624"/>
      <c r="M12" s="623" t="str">
        <f t="shared" ref="M12:M16" si="1">IFERROR(ROUND(J12-K12-L12,0),"")</f>
        <v/>
      </c>
    </row>
    <row r="13" spans="1:13" ht="20.100000000000001" customHeight="1" x14ac:dyDescent="0.2">
      <c r="A13" s="22">
        <f t="shared" ref="A13:A43" si="2">+A12+1</f>
        <v>3</v>
      </c>
      <c r="B13" s="618" t="str">
        <f>IF(+'Service Paid by Medicaid'!A17="","",+'Service Paid by Medicaid'!B17)</f>
        <v/>
      </c>
      <c r="C13" s="618" t="str">
        <f>IF('Service Paid by Medicaid'!C17="","",'Service Paid by Medicaid'!C17)</f>
        <v/>
      </c>
      <c r="D13" s="82" t="str">
        <f>IF('Service Paid by Medicaid'!D17="","",'Service Paid by Medicaid'!D17)</f>
        <v/>
      </c>
      <c r="E13" s="618" t="str">
        <f>IF('Service Paid by Medicaid'!E17="","",'Service Paid by Medicaid'!E17)</f>
        <v/>
      </c>
      <c r="F13" s="619" t="str">
        <f>IF(AND($D13=""),"",SUMIFS('Financial Summary &amp; Stats'!$F:$F,'Financial Summary &amp; Stats'!$B:$B,'Settlement Calculation'!$D13,'Financial Summary &amp; Stats'!$E:$E,'Settlement Calculation'!$C13))</f>
        <v/>
      </c>
      <c r="G13" s="620" t="str">
        <f>IF(AND($D13=""),"",SUMIFS('Financial Summary &amp; Stats'!$U:$U,'Financial Summary &amp; Stats'!$B:$B,'Settlement Calculation'!$D13,'Financial Summary &amp; Stats'!$E:$E,'Settlement Calculation'!$C13))</f>
        <v/>
      </c>
      <c r="H13" s="621" t="str">
        <f>IF(AND($D13=""),"",SUMIFS('Financial Summary &amp; Stats'!$V:$V,'Financial Summary &amp; Stats'!$B:$B,'Settlement Calculation'!$D13,'Financial Summary &amp; Stats'!$E:$E,'Settlement Calculation'!$C13))</f>
        <v/>
      </c>
      <c r="I13" s="622"/>
      <c r="J13" s="623" t="str">
        <f t="shared" si="0"/>
        <v/>
      </c>
      <c r="K13" s="624"/>
      <c r="L13" s="624"/>
      <c r="M13" s="623" t="str">
        <f t="shared" si="1"/>
        <v/>
      </c>
    </row>
    <row r="14" spans="1:13" ht="20.100000000000001" customHeight="1" x14ac:dyDescent="0.2">
      <c r="A14" s="22">
        <f t="shared" si="2"/>
        <v>4</v>
      </c>
      <c r="B14" s="618" t="str">
        <f>IF(+'Service Paid by Medicaid'!A18="","",+'Service Paid by Medicaid'!B18)</f>
        <v/>
      </c>
      <c r="C14" s="618" t="str">
        <f>IF('Service Paid by Medicaid'!C18="","",'Service Paid by Medicaid'!C18)</f>
        <v/>
      </c>
      <c r="D14" s="82" t="str">
        <f>IF('Service Paid by Medicaid'!D18="","",'Service Paid by Medicaid'!D18)</f>
        <v/>
      </c>
      <c r="E14" s="618" t="str">
        <f>IF('Service Paid by Medicaid'!E18="","",'Service Paid by Medicaid'!E18)</f>
        <v/>
      </c>
      <c r="F14" s="619" t="str">
        <f>IF(AND($D14=""),"",SUMIFS('Financial Summary &amp; Stats'!$F:$F,'Financial Summary &amp; Stats'!$B:$B,'Settlement Calculation'!$D14,'Financial Summary &amp; Stats'!$E:$E,'Settlement Calculation'!$C14))</f>
        <v/>
      </c>
      <c r="G14" s="620" t="str">
        <f>IF(AND($D14=""),"",SUMIFS('Financial Summary &amp; Stats'!$U:$U,'Financial Summary &amp; Stats'!$B:$B,'Settlement Calculation'!$D14,'Financial Summary &amp; Stats'!$E:$E,'Settlement Calculation'!$C14))</f>
        <v/>
      </c>
      <c r="H14" s="621" t="str">
        <f>IF(AND($D14=""),"",SUMIFS('Financial Summary &amp; Stats'!$V:$V,'Financial Summary &amp; Stats'!$B:$B,'Settlement Calculation'!$D14,'Financial Summary &amp; Stats'!$E:$E,'Settlement Calculation'!$C14))</f>
        <v/>
      </c>
      <c r="I14" s="622"/>
      <c r="J14" s="623" t="str">
        <f t="shared" si="0"/>
        <v/>
      </c>
      <c r="K14" s="624"/>
      <c r="L14" s="624"/>
      <c r="M14" s="623" t="str">
        <f t="shared" si="1"/>
        <v/>
      </c>
    </row>
    <row r="15" spans="1:13" ht="20.100000000000001" customHeight="1" x14ac:dyDescent="0.2">
      <c r="A15" s="22">
        <f t="shared" si="2"/>
        <v>5</v>
      </c>
      <c r="B15" s="618" t="str">
        <f>IF(+'Service Paid by Medicaid'!A19="","",+'Service Paid by Medicaid'!B19)</f>
        <v/>
      </c>
      <c r="C15" s="618" t="str">
        <f>IF('Service Paid by Medicaid'!C19="","",'Service Paid by Medicaid'!C19)</f>
        <v/>
      </c>
      <c r="D15" s="82" t="str">
        <f>IF('Service Paid by Medicaid'!D19="","",'Service Paid by Medicaid'!D19)</f>
        <v/>
      </c>
      <c r="E15" s="618" t="str">
        <f>IF('Service Paid by Medicaid'!E19="","",'Service Paid by Medicaid'!E19)</f>
        <v/>
      </c>
      <c r="F15" s="619" t="str">
        <f>IF(AND($D15=""),"",SUMIFS('Financial Summary &amp; Stats'!$F:$F,'Financial Summary &amp; Stats'!$B:$B,'Settlement Calculation'!$D15,'Financial Summary &amp; Stats'!$E:$E,'Settlement Calculation'!$C15))</f>
        <v/>
      </c>
      <c r="G15" s="620" t="str">
        <f>IF(AND($D15=""),"",SUMIFS('Financial Summary &amp; Stats'!$U:$U,'Financial Summary &amp; Stats'!$B:$B,'Settlement Calculation'!$D15,'Financial Summary &amp; Stats'!$E:$E,'Settlement Calculation'!$C15))</f>
        <v/>
      </c>
      <c r="H15" s="621" t="str">
        <f>IF(AND($D15=""),"",SUMIFS('Financial Summary &amp; Stats'!$V:$V,'Financial Summary &amp; Stats'!$B:$B,'Settlement Calculation'!$D15,'Financial Summary &amp; Stats'!$E:$E,'Settlement Calculation'!$C15))</f>
        <v/>
      </c>
      <c r="I15" s="622"/>
      <c r="J15" s="623" t="str">
        <f t="shared" si="0"/>
        <v/>
      </c>
      <c r="K15" s="624"/>
      <c r="L15" s="624"/>
      <c r="M15" s="623" t="str">
        <f t="shared" si="1"/>
        <v/>
      </c>
    </row>
    <row r="16" spans="1:13" ht="20.100000000000001" customHeight="1" x14ac:dyDescent="0.2">
      <c r="A16" s="22">
        <f t="shared" si="2"/>
        <v>6</v>
      </c>
      <c r="B16" s="618" t="str">
        <f>IF(+'Service Paid by Medicaid'!A20="","",+'Service Paid by Medicaid'!B20)</f>
        <v/>
      </c>
      <c r="C16" s="618" t="str">
        <f>IF('Service Paid by Medicaid'!C20="","",'Service Paid by Medicaid'!C20)</f>
        <v/>
      </c>
      <c r="D16" s="82" t="str">
        <f>IF('Service Paid by Medicaid'!D20="","",'Service Paid by Medicaid'!D20)</f>
        <v/>
      </c>
      <c r="E16" s="618" t="str">
        <f>IF('Service Paid by Medicaid'!E20="","",'Service Paid by Medicaid'!E20)</f>
        <v/>
      </c>
      <c r="F16" s="619" t="str">
        <f>IF(AND($D16=""),"",SUMIFS('Financial Summary &amp; Stats'!$F:$F,'Financial Summary &amp; Stats'!$B:$B,'Settlement Calculation'!$D16,'Financial Summary &amp; Stats'!$E:$E,'Settlement Calculation'!$C16))</f>
        <v/>
      </c>
      <c r="G16" s="620" t="str">
        <f>IF(AND($D16=""),"",SUMIFS('Financial Summary &amp; Stats'!$U:$U,'Financial Summary &amp; Stats'!$B:$B,'Settlement Calculation'!$D16,'Financial Summary &amp; Stats'!$E:$E,'Settlement Calculation'!$C16))</f>
        <v/>
      </c>
      <c r="H16" s="621" t="str">
        <f>IF(AND($D16=""),"",SUMIFS('Financial Summary &amp; Stats'!$V:$V,'Financial Summary &amp; Stats'!$B:$B,'Settlement Calculation'!$D16,'Financial Summary &amp; Stats'!$E:$E,'Settlement Calculation'!$C16))</f>
        <v/>
      </c>
      <c r="I16" s="622"/>
      <c r="J16" s="623" t="str">
        <f t="shared" si="0"/>
        <v/>
      </c>
      <c r="K16" s="624"/>
      <c r="L16" s="624"/>
      <c r="M16" s="623" t="str">
        <f t="shared" si="1"/>
        <v/>
      </c>
    </row>
    <row r="17" spans="1:13" ht="20.100000000000001" customHeight="1" x14ac:dyDescent="0.2">
      <c r="A17" s="22">
        <f t="shared" si="2"/>
        <v>7</v>
      </c>
      <c r="B17" s="618" t="str">
        <f>IF(+'Service Paid by Medicaid'!A21="","",+'Service Paid by Medicaid'!B21)</f>
        <v/>
      </c>
      <c r="C17" s="618" t="str">
        <f>IF('Service Paid by Medicaid'!C21="","",'Service Paid by Medicaid'!C21)</f>
        <v/>
      </c>
      <c r="D17" s="82" t="str">
        <f>IF('Service Paid by Medicaid'!D21="","",'Service Paid by Medicaid'!D21)</f>
        <v/>
      </c>
      <c r="E17" s="618" t="str">
        <f>IF('Service Paid by Medicaid'!E21="","",'Service Paid by Medicaid'!E21)</f>
        <v/>
      </c>
      <c r="F17" s="619" t="str">
        <f>IF(AND($D17=""),"",SUMIFS('Financial Summary &amp; Stats'!$F:$F,'Financial Summary &amp; Stats'!$B:$B,'Settlement Calculation'!$D17,'Financial Summary &amp; Stats'!$E:$E,'Settlement Calculation'!$C17))</f>
        <v/>
      </c>
      <c r="G17" s="620" t="str">
        <f>IF(AND($D17=""),"",SUMIFS('Financial Summary &amp; Stats'!$U:$U,'Financial Summary &amp; Stats'!$B:$B,'Settlement Calculation'!$D17,'Financial Summary &amp; Stats'!$E:$E,'Settlement Calculation'!$C17))</f>
        <v/>
      </c>
      <c r="H17" s="621" t="str">
        <f>IF(AND($D17=""),"",SUMIFS('Financial Summary &amp; Stats'!$V:$V,'Financial Summary &amp; Stats'!$B:$B,'Settlement Calculation'!$D17,'Financial Summary &amp; Stats'!$E:$E,'Settlement Calculation'!$C17))</f>
        <v/>
      </c>
      <c r="I17" s="622"/>
      <c r="J17" s="623" t="str">
        <f t="shared" ref="J17:J35" si="3">IFERROR(ROUND(H17*I17,0),"")</f>
        <v/>
      </c>
      <c r="K17" s="624"/>
      <c r="L17" s="624"/>
      <c r="M17" s="623" t="str">
        <f t="shared" ref="M17:M35" si="4">IFERROR(ROUND(J17-K17-L17,0),"")</f>
        <v/>
      </c>
    </row>
    <row r="18" spans="1:13" ht="20.100000000000001" customHeight="1" x14ac:dyDescent="0.2">
      <c r="A18" s="22">
        <f t="shared" si="2"/>
        <v>8</v>
      </c>
      <c r="B18" s="618" t="str">
        <f>IF(+'Service Paid by Medicaid'!A22="","",+'Service Paid by Medicaid'!B22)</f>
        <v/>
      </c>
      <c r="C18" s="618" t="str">
        <f>IF('Service Paid by Medicaid'!C22="","",'Service Paid by Medicaid'!C22)</f>
        <v/>
      </c>
      <c r="D18" s="82" t="str">
        <f>IF('Service Paid by Medicaid'!D22="","",'Service Paid by Medicaid'!D22)</f>
        <v/>
      </c>
      <c r="E18" s="618" t="str">
        <f>IF('Service Paid by Medicaid'!E22="","",'Service Paid by Medicaid'!E22)</f>
        <v/>
      </c>
      <c r="F18" s="619" t="str">
        <f>IF(AND($D18=""),"",SUMIFS('Financial Summary &amp; Stats'!$F:$F,'Financial Summary &amp; Stats'!$B:$B,'Settlement Calculation'!$D18,'Financial Summary &amp; Stats'!$E:$E,'Settlement Calculation'!$C18))</f>
        <v/>
      </c>
      <c r="G18" s="620" t="str">
        <f>IF(AND($D18=""),"",SUMIFS('Financial Summary &amp; Stats'!$U:$U,'Financial Summary &amp; Stats'!$B:$B,'Settlement Calculation'!$D18,'Financial Summary &amp; Stats'!$E:$E,'Settlement Calculation'!$C18))</f>
        <v/>
      </c>
      <c r="H18" s="621" t="str">
        <f>IF(AND($D18=""),"",SUMIFS('Financial Summary &amp; Stats'!$V:$V,'Financial Summary &amp; Stats'!$B:$B,'Settlement Calculation'!$D18,'Financial Summary &amp; Stats'!$E:$E,'Settlement Calculation'!$C18))</f>
        <v/>
      </c>
      <c r="I18" s="622"/>
      <c r="J18" s="623" t="str">
        <f t="shared" si="3"/>
        <v/>
      </c>
      <c r="K18" s="624"/>
      <c r="L18" s="624"/>
      <c r="M18" s="623" t="str">
        <f t="shared" si="4"/>
        <v/>
      </c>
    </row>
    <row r="19" spans="1:13" ht="20.100000000000001" customHeight="1" x14ac:dyDescent="0.2">
      <c r="A19" s="22">
        <f t="shared" si="2"/>
        <v>9</v>
      </c>
      <c r="B19" s="618" t="str">
        <f>IF(+'Service Paid by Medicaid'!A23="","",+'Service Paid by Medicaid'!B23)</f>
        <v/>
      </c>
      <c r="C19" s="618" t="str">
        <f>IF('Service Paid by Medicaid'!C23="","",'Service Paid by Medicaid'!C23)</f>
        <v/>
      </c>
      <c r="D19" s="82" t="str">
        <f>IF('Service Paid by Medicaid'!D23="","",'Service Paid by Medicaid'!D23)</f>
        <v/>
      </c>
      <c r="E19" s="618" t="str">
        <f>IF('Service Paid by Medicaid'!E23="","",'Service Paid by Medicaid'!E23)</f>
        <v/>
      </c>
      <c r="F19" s="619" t="str">
        <f>IF(AND($D19=""),"",SUMIFS('Financial Summary &amp; Stats'!$F:$F,'Financial Summary &amp; Stats'!$B:$B,'Settlement Calculation'!$D19,'Financial Summary &amp; Stats'!$E:$E,'Settlement Calculation'!$C19))</f>
        <v/>
      </c>
      <c r="G19" s="620" t="str">
        <f>IF(AND($D19=""),"",SUMIFS('Financial Summary &amp; Stats'!$U:$U,'Financial Summary &amp; Stats'!$B:$B,'Settlement Calculation'!$D19,'Financial Summary &amp; Stats'!$E:$E,'Settlement Calculation'!$C19))</f>
        <v/>
      </c>
      <c r="H19" s="621" t="str">
        <f>IF(AND($D19=""),"",SUMIFS('Financial Summary &amp; Stats'!$V:$V,'Financial Summary &amp; Stats'!$B:$B,'Settlement Calculation'!$D19,'Financial Summary &amp; Stats'!$E:$E,'Settlement Calculation'!$C19))</f>
        <v/>
      </c>
      <c r="I19" s="622"/>
      <c r="J19" s="623" t="str">
        <f t="shared" si="3"/>
        <v/>
      </c>
      <c r="K19" s="624"/>
      <c r="L19" s="624"/>
      <c r="M19" s="623" t="str">
        <f t="shared" si="4"/>
        <v/>
      </c>
    </row>
    <row r="20" spans="1:13" ht="20.100000000000001" customHeight="1" x14ac:dyDescent="0.2">
      <c r="A20" s="22">
        <f t="shared" si="2"/>
        <v>10</v>
      </c>
      <c r="B20" s="618" t="str">
        <f>IF(+'Service Paid by Medicaid'!A24="","",+'Service Paid by Medicaid'!B24)</f>
        <v/>
      </c>
      <c r="C20" s="618" t="str">
        <f>IF('Service Paid by Medicaid'!C24="","",'Service Paid by Medicaid'!C24)</f>
        <v/>
      </c>
      <c r="D20" s="82" t="str">
        <f>IF('Service Paid by Medicaid'!D24="","",'Service Paid by Medicaid'!D24)</f>
        <v/>
      </c>
      <c r="E20" s="618" t="str">
        <f>IF('Service Paid by Medicaid'!E24="","",'Service Paid by Medicaid'!E24)</f>
        <v/>
      </c>
      <c r="F20" s="619" t="str">
        <f>IF(AND($D20=""),"",SUMIFS('Financial Summary &amp; Stats'!$F:$F,'Financial Summary &amp; Stats'!$B:$B,'Settlement Calculation'!$D20,'Financial Summary &amp; Stats'!$E:$E,'Settlement Calculation'!$C20))</f>
        <v/>
      </c>
      <c r="G20" s="620" t="str">
        <f>IF(AND($D20=""),"",SUMIFS('Financial Summary &amp; Stats'!$U:$U,'Financial Summary &amp; Stats'!$B:$B,'Settlement Calculation'!$D20,'Financial Summary &amp; Stats'!$E:$E,'Settlement Calculation'!$C20))</f>
        <v/>
      </c>
      <c r="H20" s="621" t="str">
        <f>IF(AND($D20=""),"",SUMIFS('Financial Summary &amp; Stats'!$V:$V,'Financial Summary &amp; Stats'!$B:$B,'Settlement Calculation'!$D20,'Financial Summary &amp; Stats'!$E:$E,'Settlement Calculation'!$C20))</f>
        <v/>
      </c>
      <c r="I20" s="622"/>
      <c r="J20" s="623" t="str">
        <f t="shared" si="3"/>
        <v/>
      </c>
      <c r="K20" s="624"/>
      <c r="L20" s="624"/>
      <c r="M20" s="623" t="str">
        <f t="shared" si="4"/>
        <v/>
      </c>
    </row>
    <row r="21" spans="1:13" ht="20.100000000000001" customHeight="1" x14ac:dyDescent="0.2">
      <c r="A21" s="22">
        <f t="shared" si="2"/>
        <v>11</v>
      </c>
      <c r="B21" s="618" t="str">
        <f>IF(+'Service Paid by Medicaid'!A25="","",+'Service Paid by Medicaid'!B25)</f>
        <v/>
      </c>
      <c r="C21" s="618" t="str">
        <f>IF('Service Paid by Medicaid'!C25="","",'Service Paid by Medicaid'!C25)</f>
        <v/>
      </c>
      <c r="D21" s="82" t="str">
        <f>IF('Service Paid by Medicaid'!D25="","",'Service Paid by Medicaid'!D25)</f>
        <v/>
      </c>
      <c r="E21" s="618" t="str">
        <f>IF('Service Paid by Medicaid'!E25="","",'Service Paid by Medicaid'!E25)</f>
        <v/>
      </c>
      <c r="F21" s="619" t="str">
        <f>IF(AND($D21=""),"",SUMIFS('Financial Summary &amp; Stats'!$F:$F,'Financial Summary &amp; Stats'!$B:$B,'Settlement Calculation'!$D21,'Financial Summary &amp; Stats'!$E:$E,'Settlement Calculation'!$C21))</f>
        <v/>
      </c>
      <c r="G21" s="620" t="str">
        <f>IF(AND($D21=""),"",SUMIFS('Financial Summary &amp; Stats'!$U:$U,'Financial Summary &amp; Stats'!$B:$B,'Settlement Calculation'!$D21,'Financial Summary &amp; Stats'!$E:$E,'Settlement Calculation'!$C21))</f>
        <v/>
      </c>
      <c r="H21" s="621" t="str">
        <f>IF(AND($D21=""),"",SUMIFS('Financial Summary &amp; Stats'!$V:$V,'Financial Summary &amp; Stats'!$B:$B,'Settlement Calculation'!$D21,'Financial Summary &amp; Stats'!$E:$E,'Settlement Calculation'!$C21))</f>
        <v/>
      </c>
      <c r="I21" s="622"/>
      <c r="J21" s="623" t="str">
        <f t="shared" si="3"/>
        <v/>
      </c>
      <c r="K21" s="624"/>
      <c r="L21" s="624"/>
      <c r="M21" s="623" t="str">
        <f t="shared" si="4"/>
        <v/>
      </c>
    </row>
    <row r="22" spans="1:13" ht="20.100000000000001" customHeight="1" x14ac:dyDescent="0.2">
      <c r="A22" s="22">
        <f t="shared" si="2"/>
        <v>12</v>
      </c>
      <c r="B22" s="618" t="str">
        <f>IF(+'Service Paid by Medicaid'!A26="","",+'Service Paid by Medicaid'!B26)</f>
        <v/>
      </c>
      <c r="C22" s="618" t="str">
        <f>IF('Service Paid by Medicaid'!C26="","",'Service Paid by Medicaid'!C26)</f>
        <v/>
      </c>
      <c r="D22" s="82" t="str">
        <f>IF('Service Paid by Medicaid'!D26="","",'Service Paid by Medicaid'!D26)</f>
        <v/>
      </c>
      <c r="E22" s="618" t="str">
        <f>IF('Service Paid by Medicaid'!E26="","",'Service Paid by Medicaid'!E26)</f>
        <v/>
      </c>
      <c r="F22" s="619" t="str">
        <f>IF(AND($D22=""),"",SUMIFS('Financial Summary &amp; Stats'!$F:$F,'Financial Summary &amp; Stats'!$B:$B,'Settlement Calculation'!$D22,'Financial Summary &amp; Stats'!$E:$E,'Settlement Calculation'!$C22))</f>
        <v/>
      </c>
      <c r="G22" s="620" t="str">
        <f>IF(AND($D22=""),"",SUMIFS('Financial Summary &amp; Stats'!$U:$U,'Financial Summary &amp; Stats'!$B:$B,'Settlement Calculation'!$D22,'Financial Summary &amp; Stats'!$E:$E,'Settlement Calculation'!$C22))</f>
        <v/>
      </c>
      <c r="H22" s="621" t="str">
        <f>IF(AND($D22=""),"",SUMIFS('Financial Summary &amp; Stats'!$V:$V,'Financial Summary &amp; Stats'!$B:$B,'Settlement Calculation'!$D22,'Financial Summary &amp; Stats'!$E:$E,'Settlement Calculation'!$C22))</f>
        <v/>
      </c>
      <c r="I22" s="622"/>
      <c r="J22" s="623" t="str">
        <f t="shared" si="3"/>
        <v/>
      </c>
      <c r="K22" s="624"/>
      <c r="L22" s="624"/>
      <c r="M22" s="623" t="str">
        <f t="shared" si="4"/>
        <v/>
      </c>
    </row>
    <row r="23" spans="1:13" ht="20.100000000000001" customHeight="1" x14ac:dyDescent="0.2">
      <c r="A23" s="22">
        <f t="shared" si="2"/>
        <v>13</v>
      </c>
      <c r="B23" s="618" t="str">
        <f>IF(+'Service Paid by Medicaid'!A27="","",+'Service Paid by Medicaid'!B27)</f>
        <v/>
      </c>
      <c r="C23" s="618" t="str">
        <f>IF('Service Paid by Medicaid'!C27="","",'Service Paid by Medicaid'!C27)</f>
        <v/>
      </c>
      <c r="D23" s="82" t="str">
        <f>IF('Service Paid by Medicaid'!D27="","",'Service Paid by Medicaid'!D27)</f>
        <v/>
      </c>
      <c r="E23" s="618" t="str">
        <f>IF('Service Paid by Medicaid'!E27="","",'Service Paid by Medicaid'!E27)</f>
        <v/>
      </c>
      <c r="F23" s="619" t="str">
        <f>IF(AND($D23=""),"",SUMIFS('Financial Summary &amp; Stats'!$F:$F,'Financial Summary &amp; Stats'!$B:$B,'Settlement Calculation'!$D23,'Financial Summary &amp; Stats'!$E:$E,'Settlement Calculation'!$C23))</f>
        <v/>
      </c>
      <c r="G23" s="620" t="str">
        <f>IF(AND($D23=""),"",SUMIFS('Financial Summary &amp; Stats'!$U:$U,'Financial Summary &amp; Stats'!$B:$B,'Settlement Calculation'!$D23,'Financial Summary &amp; Stats'!$E:$E,'Settlement Calculation'!$C23))</f>
        <v/>
      </c>
      <c r="H23" s="621" t="str">
        <f>IF(AND($D23=""),"",SUMIFS('Financial Summary &amp; Stats'!$V:$V,'Financial Summary &amp; Stats'!$B:$B,'Settlement Calculation'!$D23,'Financial Summary &amp; Stats'!$E:$E,'Settlement Calculation'!$C23))</f>
        <v/>
      </c>
      <c r="I23" s="622"/>
      <c r="J23" s="623" t="str">
        <f t="shared" si="3"/>
        <v/>
      </c>
      <c r="K23" s="624"/>
      <c r="L23" s="624"/>
      <c r="M23" s="623" t="str">
        <f t="shared" si="4"/>
        <v/>
      </c>
    </row>
    <row r="24" spans="1:13" ht="20.100000000000001" customHeight="1" x14ac:dyDescent="0.2">
      <c r="A24" s="22">
        <f t="shared" si="2"/>
        <v>14</v>
      </c>
      <c r="B24" s="618" t="str">
        <f>IF(+'Service Paid by Medicaid'!A28="","",+'Service Paid by Medicaid'!B28)</f>
        <v/>
      </c>
      <c r="C24" s="618" t="str">
        <f>IF('Service Paid by Medicaid'!C28="","",'Service Paid by Medicaid'!C28)</f>
        <v/>
      </c>
      <c r="D24" s="82" t="str">
        <f>IF('Service Paid by Medicaid'!D28="","",'Service Paid by Medicaid'!D28)</f>
        <v/>
      </c>
      <c r="E24" s="618" t="str">
        <f>IF('Service Paid by Medicaid'!E28="","",'Service Paid by Medicaid'!E28)</f>
        <v/>
      </c>
      <c r="F24" s="619" t="str">
        <f>IF(AND($D24=""),"",SUMIFS('Financial Summary &amp; Stats'!$F:$F,'Financial Summary &amp; Stats'!$B:$B,'Settlement Calculation'!$D24,'Financial Summary &amp; Stats'!$E:$E,'Settlement Calculation'!$C24))</f>
        <v/>
      </c>
      <c r="G24" s="620" t="str">
        <f>IF(AND($D24=""),"",SUMIFS('Financial Summary &amp; Stats'!$U:$U,'Financial Summary &amp; Stats'!$B:$B,'Settlement Calculation'!$D24,'Financial Summary &amp; Stats'!$E:$E,'Settlement Calculation'!$C24))</f>
        <v/>
      </c>
      <c r="H24" s="621" t="str">
        <f>IF(AND($D24=""),"",SUMIFS('Financial Summary &amp; Stats'!$V:$V,'Financial Summary &amp; Stats'!$B:$B,'Settlement Calculation'!$D24,'Financial Summary &amp; Stats'!$E:$E,'Settlement Calculation'!$C24))</f>
        <v/>
      </c>
      <c r="I24" s="622"/>
      <c r="J24" s="623" t="str">
        <f t="shared" si="3"/>
        <v/>
      </c>
      <c r="K24" s="624"/>
      <c r="L24" s="624"/>
      <c r="M24" s="623" t="str">
        <f t="shared" si="4"/>
        <v/>
      </c>
    </row>
    <row r="25" spans="1:13" ht="20.100000000000001" customHeight="1" x14ac:dyDescent="0.2">
      <c r="A25" s="22">
        <f t="shared" si="2"/>
        <v>15</v>
      </c>
      <c r="B25" s="618" t="str">
        <f>IF(+'Service Paid by Medicaid'!A29="","",+'Service Paid by Medicaid'!B29)</f>
        <v/>
      </c>
      <c r="C25" s="618" t="str">
        <f>IF('Service Paid by Medicaid'!C29="","",'Service Paid by Medicaid'!C29)</f>
        <v/>
      </c>
      <c r="D25" s="82" t="str">
        <f>IF('Service Paid by Medicaid'!D29="","",'Service Paid by Medicaid'!D29)</f>
        <v/>
      </c>
      <c r="E25" s="618" t="str">
        <f>IF('Service Paid by Medicaid'!E29="","",'Service Paid by Medicaid'!E29)</f>
        <v/>
      </c>
      <c r="F25" s="619" t="str">
        <f>IF(AND($D25=""),"",SUMIFS('Financial Summary &amp; Stats'!$F:$F,'Financial Summary &amp; Stats'!$B:$B,'Settlement Calculation'!$D25,'Financial Summary &amp; Stats'!$E:$E,'Settlement Calculation'!$C25))</f>
        <v/>
      </c>
      <c r="G25" s="620" t="str">
        <f>IF(AND($D25=""),"",SUMIFS('Financial Summary &amp; Stats'!$U:$U,'Financial Summary &amp; Stats'!$B:$B,'Settlement Calculation'!$D25,'Financial Summary &amp; Stats'!$E:$E,'Settlement Calculation'!$C25))</f>
        <v/>
      </c>
      <c r="H25" s="621" t="str">
        <f>IF(AND($D25=""),"",SUMIFS('Financial Summary &amp; Stats'!$V:$V,'Financial Summary &amp; Stats'!$B:$B,'Settlement Calculation'!$D25,'Financial Summary &amp; Stats'!$E:$E,'Settlement Calculation'!$C25))</f>
        <v/>
      </c>
      <c r="I25" s="622"/>
      <c r="J25" s="623" t="str">
        <f t="shared" si="3"/>
        <v/>
      </c>
      <c r="K25" s="624"/>
      <c r="L25" s="624"/>
      <c r="M25" s="623" t="str">
        <f t="shared" si="4"/>
        <v/>
      </c>
    </row>
    <row r="26" spans="1:13" ht="20.100000000000001" customHeight="1" x14ac:dyDescent="0.2">
      <c r="A26" s="22">
        <f t="shared" si="2"/>
        <v>16</v>
      </c>
      <c r="B26" s="618" t="str">
        <f>IF(+'Service Paid by Medicaid'!A30="","",+'Service Paid by Medicaid'!B30)</f>
        <v/>
      </c>
      <c r="C26" s="618" t="str">
        <f>IF('Service Paid by Medicaid'!C30="","",'Service Paid by Medicaid'!C30)</f>
        <v/>
      </c>
      <c r="D26" s="82" t="str">
        <f>IF('Service Paid by Medicaid'!D30="","",'Service Paid by Medicaid'!D30)</f>
        <v/>
      </c>
      <c r="E26" s="618" t="str">
        <f>IF('Service Paid by Medicaid'!E30="","",'Service Paid by Medicaid'!E30)</f>
        <v/>
      </c>
      <c r="F26" s="619" t="str">
        <f>IF(AND($D26=""),"",SUMIFS('Financial Summary &amp; Stats'!$F:$F,'Financial Summary &amp; Stats'!$B:$B,'Settlement Calculation'!$D26,'Financial Summary &amp; Stats'!$E:$E,'Settlement Calculation'!$C26))</f>
        <v/>
      </c>
      <c r="G26" s="620" t="str">
        <f>IF(AND($D26=""),"",SUMIFS('Financial Summary &amp; Stats'!$U:$U,'Financial Summary &amp; Stats'!$B:$B,'Settlement Calculation'!$D26,'Financial Summary &amp; Stats'!$E:$E,'Settlement Calculation'!$C26))</f>
        <v/>
      </c>
      <c r="H26" s="621" t="str">
        <f>IF(AND($D26=""),"",SUMIFS('Financial Summary &amp; Stats'!$V:$V,'Financial Summary &amp; Stats'!$B:$B,'Settlement Calculation'!$D26,'Financial Summary &amp; Stats'!$E:$E,'Settlement Calculation'!$C26))</f>
        <v/>
      </c>
      <c r="I26" s="622"/>
      <c r="J26" s="623" t="str">
        <f t="shared" si="3"/>
        <v/>
      </c>
      <c r="K26" s="624"/>
      <c r="L26" s="624"/>
      <c r="M26" s="623" t="str">
        <f t="shared" si="4"/>
        <v/>
      </c>
    </row>
    <row r="27" spans="1:13" ht="20.100000000000001" customHeight="1" x14ac:dyDescent="0.2">
      <c r="A27" s="22">
        <f t="shared" si="2"/>
        <v>17</v>
      </c>
      <c r="B27" s="618" t="str">
        <f>IF(+'Service Paid by Medicaid'!A31="","",+'Service Paid by Medicaid'!B31)</f>
        <v/>
      </c>
      <c r="C27" s="618" t="str">
        <f>IF('Service Paid by Medicaid'!C31="","",'Service Paid by Medicaid'!C31)</f>
        <v/>
      </c>
      <c r="D27" s="82" t="str">
        <f>IF('Service Paid by Medicaid'!D31="","",'Service Paid by Medicaid'!D31)</f>
        <v/>
      </c>
      <c r="E27" s="618" t="str">
        <f>IF('Service Paid by Medicaid'!E31="","",'Service Paid by Medicaid'!E31)</f>
        <v/>
      </c>
      <c r="F27" s="619" t="str">
        <f>IF(AND($D27=""),"",SUMIFS('Financial Summary &amp; Stats'!$F:$F,'Financial Summary &amp; Stats'!$B:$B,'Settlement Calculation'!$D27,'Financial Summary &amp; Stats'!$E:$E,'Settlement Calculation'!$C27))</f>
        <v/>
      </c>
      <c r="G27" s="620" t="str">
        <f>IF(AND($D27=""),"",SUMIFS('Financial Summary &amp; Stats'!$U:$U,'Financial Summary &amp; Stats'!$B:$B,'Settlement Calculation'!$D27,'Financial Summary &amp; Stats'!$E:$E,'Settlement Calculation'!$C27))</f>
        <v/>
      </c>
      <c r="H27" s="621" t="str">
        <f>IF(AND($D27=""),"",SUMIFS('Financial Summary &amp; Stats'!$V:$V,'Financial Summary &amp; Stats'!$B:$B,'Settlement Calculation'!$D27,'Financial Summary &amp; Stats'!$E:$E,'Settlement Calculation'!$C27))</f>
        <v/>
      </c>
      <c r="I27" s="622"/>
      <c r="J27" s="623" t="str">
        <f t="shared" si="3"/>
        <v/>
      </c>
      <c r="K27" s="624"/>
      <c r="L27" s="624"/>
      <c r="M27" s="623" t="str">
        <f t="shared" si="4"/>
        <v/>
      </c>
    </row>
    <row r="28" spans="1:13" ht="20.100000000000001" customHeight="1" x14ac:dyDescent="0.2">
      <c r="A28" s="22">
        <f t="shared" si="2"/>
        <v>18</v>
      </c>
      <c r="B28" s="618" t="str">
        <f>IF(+'Service Paid by Medicaid'!A32="","",+'Service Paid by Medicaid'!B32)</f>
        <v/>
      </c>
      <c r="C28" s="618" t="str">
        <f>IF('Service Paid by Medicaid'!C32="","",'Service Paid by Medicaid'!C32)</f>
        <v/>
      </c>
      <c r="D28" s="82" t="str">
        <f>IF('Service Paid by Medicaid'!D32="","",'Service Paid by Medicaid'!D32)</f>
        <v/>
      </c>
      <c r="E28" s="618" t="str">
        <f>IF('Service Paid by Medicaid'!E32="","",'Service Paid by Medicaid'!E32)</f>
        <v/>
      </c>
      <c r="F28" s="619" t="str">
        <f>IF(AND($D28=""),"",SUMIFS('Financial Summary &amp; Stats'!$F:$F,'Financial Summary &amp; Stats'!$B:$B,'Settlement Calculation'!$D28,'Financial Summary &amp; Stats'!$E:$E,'Settlement Calculation'!$C28))</f>
        <v/>
      </c>
      <c r="G28" s="620" t="str">
        <f>IF(AND($D28=""),"",SUMIFS('Financial Summary &amp; Stats'!$U:$U,'Financial Summary &amp; Stats'!$B:$B,'Settlement Calculation'!$D28,'Financial Summary &amp; Stats'!$E:$E,'Settlement Calculation'!$C28))</f>
        <v/>
      </c>
      <c r="H28" s="621" t="str">
        <f>IF(AND($D28=""),"",SUMIFS('Financial Summary &amp; Stats'!$V:$V,'Financial Summary &amp; Stats'!$B:$B,'Settlement Calculation'!$D28,'Financial Summary &amp; Stats'!$E:$E,'Settlement Calculation'!$C28))</f>
        <v/>
      </c>
      <c r="I28" s="622"/>
      <c r="J28" s="623" t="str">
        <f t="shared" si="3"/>
        <v/>
      </c>
      <c r="K28" s="624"/>
      <c r="L28" s="624"/>
      <c r="M28" s="623" t="str">
        <f t="shared" si="4"/>
        <v/>
      </c>
    </row>
    <row r="29" spans="1:13" ht="20.100000000000001" customHeight="1" x14ac:dyDescent="0.2">
      <c r="A29" s="22">
        <f t="shared" si="2"/>
        <v>19</v>
      </c>
      <c r="B29" s="618" t="str">
        <f>IF(+'Service Paid by Medicaid'!A33="","",+'Service Paid by Medicaid'!B33)</f>
        <v/>
      </c>
      <c r="C29" s="618" t="str">
        <f>IF('Service Paid by Medicaid'!C33="","",'Service Paid by Medicaid'!C33)</f>
        <v/>
      </c>
      <c r="D29" s="82" t="str">
        <f>IF('Service Paid by Medicaid'!D33="","",'Service Paid by Medicaid'!D33)</f>
        <v/>
      </c>
      <c r="E29" s="618" t="str">
        <f>IF('Service Paid by Medicaid'!E33="","",'Service Paid by Medicaid'!E33)</f>
        <v/>
      </c>
      <c r="F29" s="619" t="str">
        <f>IF(AND($D29=""),"",SUMIFS('Financial Summary &amp; Stats'!$F:$F,'Financial Summary &amp; Stats'!$B:$B,'Settlement Calculation'!$D29,'Financial Summary &amp; Stats'!$E:$E,'Settlement Calculation'!$C29))</f>
        <v/>
      </c>
      <c r="G29" s="620" t="str">
        <f>IF(AND($D29=""),"",SUMIFS('Financial Summary &amp; Stats'!$U:$U,'Financial Summary &amp; Stats'!$B:$B,'Settlement Calculation'!$D29,'Financial Summary &amp; Stats'!$E:$E,'Settlement Calculation'!$C29))</f>
        <v/>
      </c>
      <c r="H29" s="621" t="str">
        <f>IF(AND($D29=""),"",SUMIFS('Financial Summary &amp; Stats'!$V:$V,'Financial Summary &amp; Stats'!$B:$B,'Settlement Calculation'!$D29,'Financial Summary &amp; Stats'!$E:$E,'Settlement Calculation'!$C29))</f>
        <v/>
      </c>
      <c r="I29" s="622"/>
      <c r="J29" s="623" t="str">
        <f t="shared" si="3"/>
        <v/>
      </c>
      <c r="K29" s="624"/>
      <c r="L29" s="624"/>
      <c r="M29" s="623" t="str">
        <f t="shared" si="4"/>
        <v/>
      </c>
    </row>
    <row r="30" spans="1:13" ht="20.100000000000001" customHeight="1" x14ac:dyDescent="0.2">
      <c r="A30" s="22">
        <f t="shared" si="2"/>
        <v>20</v>
      </c>
      <c r="B30" s="618" t="str">
        <f>IF(+'Service Paid by Medicaid'!A34="","",+'Service Paid by Medicaid'!B34)</f>
        <v/>
      </c>
      <c r="C30" s="618" t="str">
        <f>IF('Service Paid by Medicaid'!C34="","",'Service Paid by Medicaid'!C34)</f>
        <v/>
      </c>
      <c r="D30" s="82" t="str">
        <f>IF('Service Paid by Medicaid'!D34="","",'Service Paid by Medicaid'!D34)</f>
        <v/>
      </c>
      <c r="E30" s="618" t="str">
        <f>IF('Service Paid by Medicaid'!E34="","",'Service Paid by Medicaid'!E34)</f>
        <v/>
      </c>
      <c r="F30" s="619" t="str">
        <f>IF(AND($D30=""),"",SUMIFS('Financial Summary &amp; Stats'!$F:$F,'Financial Summary &amp; Stats'!$B:$B,'Settlement Calculation'!$D30,'Financial Summary &amp; Stats'!$E:$E,'Settlement Calculation'!$C30))</f>
        <v/>
      </c>
      <c r="G30" s="620" t="str">
        <f>IF(AND($D30=""),"",SUMIFS('Financial Summary &amp; Stats'!$U:$U,'Financial Summary &amp; Stats'!$B:$B,'Settlement Calculation'!$D30,'Financial Summary &amp; Stats'!$E:$E,'Settlement Calculation'!$C30))</f>
        <v/>
      </c>
      <c r="H30" s="621" t="str">
        <f>IF(AND($D30=""),"",SUMIFS('Financial Summary &amp; Stats'!$V:$V,'Financial Summary &amp; Stats'!$B:$B,'Settlement Calculation'!$D30,'Financial Summary &amp; Stats'!$E:$E,'Settlement Calculation'!$C30))</f>
        <v/>
      </c>
      <c r="I30" s="622"/>
      <c r="J30" s="623" t="str">
        <f t="shared" si="3"/>
        <v/>
      </c>
      <c r="K30" s="624"/>
      <c r="L30" s="624"/>
      <c r="M30" s="623" t="str">
        <f t="shared" si="4"/>
        <v/>
      </c>
    </row>
    <row r="31" spans="1:13" ht="20.100000000000001" customHeight="1" x14ac:dyDescent="0.2">
      <c r="A31" s="22">
        <f t="shared" si="2"/>
        <v>21</v>
      </c>
      <c r="B31" s="618" t="str">
        <f>IF(+'Service Paid by Medicaid'!A35="","",+'Service Paid by Medicaid'!B35)</f>
        <v/>
      </c>
      <c r="C31" s="618" t="str">
        <f>IF('Service Paid by Medicaid'!C35="","",'Service Paid by Medicaid'!C35)</f>
        <v/>
      </c>
      <c r="D31" s="82" t="str">
        <f>IF('Service Paid by Medicaid'!D35="","",'Service Paid by Medicaid'!D35)</f>
        <v/>
      </c>
      <c r="E31" s="618" t="str">
        <f>IF('Service Paid by Medicaid'!E35="","",'Service Paid by Medicaid'!E35)</f>
        <v/>
      </c>
      <c r="F31" s="619" t="str">
        <f>IF(AND($D31=""),"",SUMIFS('Financial Summary &amp; Stats'!$F:$F,'Financial Summary &amp; Stats'!$B:$B,'Settlement Calculation'!$D31,'Financial Summary &amp; Stats'!$E:$E,'Settlement Calculation'!$C31))</f>
        <v/>
      </c>
      <c r="G31" s="620" t="str">
        <f>IF(AND($D31=""),"",SUMIFS('Financial Summary &amp; Stats'!$U:$U,'Financial Summary &amp; Stats'!$B:$B,'Settlement Calculation'!$D31,'Financial Summary &amp; Stats'!$E:$E,'Settlement Calculation'!$C31))</f>
        <v/>
      </c>
      <c r="H31" s="621" t="str">
        <f>IF(AND($D31=""),"",SUMIFS('Financial Summary &amp; Stats'!$V:$V,'Financial Summary &amp; Stats'!$B:$B,'Settlement Calculation'!$D31,'Financial Summary &amp; Stats'!$E:$E,'Settlement Calculation'!$C31))</f>
        <v/>
      </c>
      <c r="I31" s="622"/>
      <c r="J31" s="623" t="str">
        <f t="shared" si="3"/>
        <v/>
      </c>
      <c r="K31" s="624"/>
      <c r="L31" s="624"/>
      <c r="M31" s="623" t="str">
        <f t="shared" si="4"/>
        <v/>
      </c>
    </row>
    <row r="32" spans="1:13" ht="20.100000000000001" customHeight="1" x14ac:dyDescent="0.2">
      <c r="A32" s="22">
        <f t="shared" si="2"/>
        <v>22</v>
      </c>
      <c r="B32" s="618" t="str">
        <f>IF(+'Service Paid by Medicaid'!A36="","",+'Service Paid by Medicaid'!B36)</f>
        <v/>
      </c>
      <c r="C32" s="618" t="str">
        <f>IF('Service Paid by Medicaid'!C36="","",'Service Paid by Medicaid'!C36)</f>
        <v/>
      </c>
      <c r="D32" s="82" t="str">
        <f>IF('Service Paid by Medicaid'!D36="","",'Service Paid by Medicaid'!D36)</f>
        <v/>
      </c>
      <c r="E32" s="618" t="str">
        <f>IF('Service Paid by Medicaid'!E36="","",'Service Paid by Medicaid'!E36)</f>
        <v/>
      </c>
      <c r="F32" s="619" t="str">
        <f>IF(AND($D32=""),"",SUMIFS('Financial Summary &amp; Stats'!$F:$F,'Financial Summary &amp; Stats'!$B:$B,'Settlement Calculation'!$D32,'Financial Summary &amp; Stats'!$E:$E,'Settlement Calculation'!$C32))</f>
        <v/>
      </c>
      <c r="G32" s="620" t="str">
        <f>IF(AND($D32=""),"",SUMIFS('Financial Summary &amp; Stats'!$U:$U,'Financial Summary &amp; Stats'!$B:$B,'Settlement Calculation'!$D32,'Financial Summary &amp; Stats'!$E:$E,'Settlement Calculation'!$C32))</f>
        <v/>
      </c>
      <c r="H32" s="621" t="str">
        <f>IF(AND($D32=""),"",SUMIFS('Financial Summary &amp; Stats'!$V:$V,'Financial Summary &amp; Stats'!$B:$B,'Settlement Calculation'!$D32,'Financial Summary &amp; Stats'!$E:$E,'Settlement Calculation'!$C32))</f>
        <v/>
      </c>
      <c r="I32" s="622"/>
      <c r="J32" s="623" t="str">
        <f t="shared" si="3"/>
        <v/>
      </c>
      <c r="K32" s="624"/>
      <c r="L32" s="624"/>
      <c r="M32" s="623" t="str">
        <f t="shared" si="4"/>
        <v/>
      </c>
    </row>
    <row r="33" spans="1:13" ht="20.100000000000001" customHeight="1" x14ac:dyDescent="0.2">
      <c r="A33" s="22">
        <f t="shared" si="2"/>
        <v>23</v>
      </c>
      <c r="B33" s="618" t="str">
        <f>IF(+'Service Paid by Medicaid'!A37="","",+'Service Paid by Medicaid'!B37)</f>
        <v/>
      </c>
      <c r="C33" s="618" t="str">
        <f>IF('Service Paid by Medicaid'!C37="","",'Service Paid by Medicaid'!C37)</f>
        <v/>
      </c>
      <c r="D33" s="82" t="str">
        <f>IF('Service Paid by Medicaid'!D37="","",'Service Paid by Medicaid'!D37)</f>
        <v/>
      </c>
      <c r="E33" s="618" t="str">
        <f>IF('Service Paid by Medicaid'!E37="","",'Service Paid by Medicaid'!E37)</f>
        <v/>
      </c>
      <c r="F33" s="619" t="str">
        <f>IF(AND($D33=""),"",SUMIFS('Financial Summary &amp; Stats'!$F:$F,'Financial Summary &amp; Stats'!$B:$B,'Settlement Calculation'!$D33,'Financial Summary &amp; Stats'!$E:$E,'Settlement Calculation'!$C33))</f>
        <v/>
      </c>
      <c r="G33" s="620" t="str">
        <f>IF(AND($D33=""),"",SUMIFS('Financial Summary &amp; Stats'!$U:$U,'Financial Summary &amp; Stats'!$B:$B,'Settlement Calculation'!$D33,'Financial Summary &amp; Stats'!$E:$E,'Settlement Calculation'!$C33))</f>
        <v/>
      </c>
      <c r="H33" s="621" t="str">
        <f>IF(AND($D33=""),"",SUMIFS('Financial Summary &amp; Stats'!$V:$V,'Financial Summary &amp; Stats'!$B:$B,'Settlement Calculation'!$D33,'Financial Summary &amp; Stats'!$E:$E,'Settlement Calculation'!$C33))</f>
        <v/>
      </c>
      <c r="I33" s="622"/>
      <c r="J33" s="623" t="str">
        <f t="shared" si="3"/>
        <v/>
      </c>
      <c r="K33" s="624"/>
      <c r="L33" s="624"/>
      <c r="M33" s="623" t="str">
        <f t="shared" si="4"/>
        <v/>
      </c>
    </row>
    <row r="34" spans="1:13" ht="20.100000000000001" customHeight="1" x14ac:dyDescent="0.2">
      <c r="A34" s="22">
        <f t="shared" si="2"/>
        <v>24</v>
      </c>
      <c r="B34" s="618" t="str">
        <f>IF(+'Service Paid by Medicaid'!A38="","",+'Service Paid by Medicaid'!B38)</f>
        <v/>
      </c>
      <c r="C34" s="618" t="str">
        <f>IF('Service Paid by Medicaid'!C38="","",'Service Paid by Medicaid'!C38)</f>
        <v/>
      </c>
      <c r="D34" s="82" t="str">
        <f>IF('Service Paid by Medicaid'!D38="","",'Service Paid by Medicaid'!D38)</f>
        <v/>
      </c>
      <c r="E34" s="618" t="str">
        <f>IF('Service Paid by Medicaid'!E38="","",'Service Paid by Medicaid'!E38)</f>
        <v/>
      </c>
      <c r="F34" s="619" t="str">
        <f>IF(AND($D34=""),"",SUMIFS('Financial Summary &amp; Stats'!$F:$F,'Financial Summary &amp; Stats'!$B:$B,'Settlement Calculation'!$D34,'Financial Summary &amp; Stats'!$E:$E,'Settlement Calculation'!$C34))</f>
        <v/>
      </c>
      <c r="G34" s="620" t="str">
        <f>IF(AND($D34=""),"",SUMIFS('Financial Summary &amp; Stats'!$U:$U,'Financial Summary &amp; Stats'!$B:$B,'Settlement Calculation'!$D34,'Financial Summary &amp; Stats'!$E:$E,'Settlement Calculation'!$C34))</f>
        <v/>
      </c>
      <c r="H34" s="621" t="str">
        <f>IF(AND($D34=""),"",SUMIFS('Financial Summary &amp; Stats'!$V:$V,'Financial Summary &amp; Stats'!$B:$B,'Settlement Calculation'!$D34,'Financial Summary &amp; Stats'!$E:$E,'Settlement Calculation'!$C34))</f>
        <v/>
      </c>
      <c r="I34" s="622"/>
      <c r="J34" s="623" t="str">
        <f t="shared" si="3"/>
        <v/>
      </c>
      <c r="K34" s="624"/>
      <c r="L34" s="624"/>
      <c r="M34" s="623" t="str">
        <f t="shared" si="4"/>
        <v/>
      </c>
    </row>
    <row r="35" spans="1:13" ht="20.100000000000001" customHeight="1" x14ac:dyDescent="0.2">
      <c r="A35" s="22">
        <f t="shared" si="2"/>
        <v>25</v>
      </c>
      <c r="B35" s="618" t="str">
        <f>IF(+'Service Paid by Medicaid'!A39="","",+'Service Paid by Medicaid'!B39)</f>
        <v/>
      </c>
      <c r="C35" s="618" t="str">
        <f>IF('Service Paid by Medicaid'!C39="","",'Service Paid by Medicaid'!C39)</f>
        <v/>
      </c>
      <c r="D35" s="82" t="str">
        <f>IF('Service Paid by Medicaid'!D39="","",'Service Paid by Medicaid'!D39)</f>
        <v/>
      </c>
      <c r="E35" s="618" t="str">
        <f>IF('Service Paid by Medicaid'!E39="","",'Service Paid by Medicaid'!E39)</f>
        <v/>
      </c>
      <c r="F35" s="619" t="str">
        <f>IF(AND($D35=""),"",SUMIFS('Financial Summary &amp; Stats'!$F:$F,'Financial Summary &amp; Stats'!$B:$B,'Settlement Calculation'!$D35,'Financial Summary &amp; Stats'!$E:$E,'Settlement Calculation'!$C35))</f>
        <v/>
      </c>
      <c r="G35" s="620" t="str">
        <f>IF(AND($D35=""),"",SUMIFS('Financial Summary &amp; Stats'!$U:$U,'Financial Summary &amp; Stats'!$B:$B,'Settlement Calculation'!$D35,'Financial Summary &amp; Stats'!$E:$E,'Settlement Calculation'!$C35))</f>
        <v/>
      </c>
      <c r="H35" s="621" t="str">
        <f>IF(AND($D35=""),"",SUMIFS('Financial Summary &amp; Stats'!$V:$V,'Financial Summary &amp; Stats'!$B:$B,'Settlement Calculation'!$D35,'Financial Summary &amp; Stats'!$E:$E,'Settlement Calculation'!$C35))</f>
        <v/>
      </c>
      <c r="I35" s="622"/>
      <c r="J35" s="623" t="str">
        <f t="shared" si="3"/>
        <v/>
      </c>
      <c r="K35" s="624"/>
      <c r="L35" s="624"/>
      <c r="M35" s="623" t="str">
        <f t="shared" si="4"/>
        <v/>
      </c>
    </row>
    <row r="36" spans="1:13" ht="20.100000000000001" customHeight="1" x14ac:dyDescent="0.2">
      <c r="A36" s="22">
        <f>+A35+1</f>
        <v>26</v>
      </c>
      <c r="B36" s="25" t="s">
        <v>45</v>
      </c>
      <c r="C36" s="25"/>
      <c r="D36" s="83"/>
      <c r="E36" s="26"/>
      <c r="F36" s="370">
        <f>SUM(F11:F35)</f>
        <v>0</v>
      </c>
      <c r="G36" s="616">
        <f>SUM(G11:G35)</f>
        <v>0</v>
      </c>
      <c r="H36" s="367">
        <f>IFERROR(ROUND(G36/F36,2),0)</f>
        <v>0</v>
      </c>
      <c r="I36" s="42">
        <f>SUM(I11:I35)</f>
        <v>0</v>
      </c>
      <c r="J36" s="360">
        <f>SUM(J11:J35)</f>
        <v>0</v>
      </c>
      <c r="K36" s="360">
        <f>SUM(K11:K35)</f>
        <v>0</v>
      </c>
      <c r="L36" s="360">
        <f>SUM(L11:L35)</f>
        <v>0</v>
      </c>
      <c r="M36" s="360">
        <f>SUM(M11:M35)</f>
        <v>0</v>
      </c>
    </row>
    <row r="37" spans="1:13" ht="20.100000000000001" customHeight="1" x14ac:dyDescent="0.2">
      <c r="A37" s="22">
        <f t="shared" si="2"/>
        <v>27</v>
      </c>
      <c r="B37" s="37" t="str">
        <f>+'Service Paid by Medicaid'!A41</f>
        <v>Other Reimbursable and Non Reimbursable Cost Centers</v>
      </c>
      <c r="C37" s="37"/>
      <c r="D37" s="81"/>
      <c r="E37" s="34"/>
      <c r="F37" s="36"/>
      <c r="G37" s="35"/>
      <c r="H37" s="366"/>
      <c r="I37" s="41"/>
      <c r="J37" s="359"/>
      <c r="K37" s="359"/>
      <c r="L37" s="359"/>
      <c r="M37" s="35"/>
    </row>
    <row r="38" spans="1:13" ht="20.100000000000001" customHeight="1" x14ac:dyDescent="0.2">
      <c r="A38" s="22">
        <f t="shared" si="2"/>
        <v>28</v>
      </c>
      <c r="B38" s="58" t="str">
        <f>IF(+'Service Paid by Medicaid'!A42="","",+'Service Paid by Medicaid'!A42)</f>
        <v/>
      </c>
      <c r="C38" s="618" t="str">
        <f>IF('Service Paid by Medicaid'!C42="","",'Service Paid by Medicaid'!C42)</f>
        <v/>
      </c>
      <c r="D38" s="82" t="str">
        <f>IF('Service Paid by Medicaid'!D42="","",'Service Paid by Medicaid'!D42)</f>
        <v/>
      </c>
      <c r="E38" s="58" t="str">
        <f>IF('Service Paid by Medicaid'!E42="","",'Service Paid by Medicaid'!E42)</f>
        <v/>
      </c>
      <c r="F38" s="619" t="str">
        <f>IF(AND($D38=""),"",SUMIFS('Financial Summary &amp; Stats'!$F:$F,'Financial Summary &amp; Stats'!$B:$B,'Settlement Calculation'!$D38,'Financial Summary &amp; Stats'!$E:$E,'Settlement Calculation'!$C38))</f>
        <v/>
      </c>
      <c r="G38" s="620" t="str">
        <f>IF(AND($D38=""),"",SUMIFS('Financial Summary &amp; Stats'!$U:$U,'Financial Summary &amp; Stats'!$B:$B,'Settlement Calculation'!$D38,'Financial Summary &amp; Stats'!$E:$E,'Settlement Calculation'!$C38))</f>
        <v/>
      </c>
      <c r="H38" s="621" t="str">
        <f>IF(AND($D38=""),"",SUMIFS('Financial Summary &amp; Stats'!$V:$V,'Financial Summary &amp; Stats'!$B:$B,'Settlement Calculation'!$D38,'Financial Summary &amp; Stats'!$E:$E,'Settlement Calculation'!$C38))</f>
        <v/>
      </c>
      <c r="I38" s="593"/>
      <c r="J38" s="286" t="str">
        <f t="shared" ref="J38" si="5">IFERROR(ROUND(H38*I38,0),"")</f>
        <v/>
      </c>
      <c r="K38" s="378"/>
      <c r="L38" s="378"/>
      <c r="M38" s="286" t="str">
        <f t="shared" ref="M38" si="6">IFERROR(ROUND(J38-K38-L38,0),"")</f>
        <v/>
      </c>
    </row>
    <row r="39" spans="1:13" ht="20.100000000000001" customHeight="1" x14ac:dyDescent="0.2">
      <c r="A39" s="22">
        <f t="shared" si="2"/>
        <v>29</v>
      </c>
      <c r="B39" s="58" t="str">
        <f>IF(+'Service Paid by Medicaid'!A43="","",+'Service Paid by Medicaid'!A43)</f>
        <v/>
      </c>
      <c r="C39" s="618" t="str">
        <f>IF('Service Paid by Medicaid'!C43="","",'Service Paid by Medicaid'!C43)</f>
        <v/>
      </c>
      <c r="D39" s="82" t="str">
        <f>IF('Service Paid by Medicaid'!D43="","",'Service Paid by Medicaid'!D43)</f>
        <v/>
      </c>
      <c r="E39" s="58" t="str">
        <f>IF('Service Paid by Medicaid'!E43="","",'Service Paid by Medicaid'!E43)</f>
        <v/>
      </c>
      <c r="F39" s="619" t="str">
        <f>IF(AND($D39=""),"",SUMIFS('Financial Summary &amp; Stats'!$F:$F,'Financial Summary &amp; Stats'!$B:$B,'Settlement Calculation'!$D39,'Financial Summary &amp; Stats'!$E:$E,'Settlement Calculation'!$C39))</f>
        <v/>
      </c>
      <c r="G39" s="620" t="str">
        <f>IF(AND($D39=""),"",SUMIFS('Financial Summary &amp; Stats'!$U:$U,'Financial Summary &amp; Stats'!$B:$B,'Settlement Calculation'!$D39,'Financial Summary &amp; Stats'!$E:$E,'Settlement Calculation'!$C39))</f>
        <v/>
      </c>
      <c r="H39" s="621" t="str">
        <f>IF(AND($D39=""),"",SUMIFS('Financial Summary &amp; Stats'!$V:$V,'Financial Summary &amp; Stats'!$B:$B,'Settlement Calculation'!$D39,'Financial Summary &amp; Stats'!$E:$E,'Settlement Calculation'!$C39))</f>
        <v/>
      </c>
      <c r="I39" s="593"/>
      <c r="J39" s="286" t="str">
        <f t="shared" ref="J39:J41" si="7">IFERROR(ROUND(H39*I39,0),"")</f>
        <v/>
      </c>
      <c r="K39" s="378"/>
      <c r="L39" s="378"/>
      <c r="M39" s="286" t="str">
        <f t="shared" ref="M39:M41" si="8">IFERROR(ROUND(J39-K39-L39,0),"")</f>
        <v/>
      </c>
    </row>
    <row r="40" spans="1:13" ht="20.100000000000001" customHeight="1" x14ac:dyDescent="0.2">
      <c r="A40" s="22">
        <f t="shared" si="2"/>
        <v>30</v>
      </c>
      <c r="B40" s="58" t="str">
        <f>IF(+'Service Paid by Medicaid'!A44="","",+'Service Paid by Medicaid'!A44)</f>
        <v/>
      </c>
      <c r="C40" s="618" t="str">
        <f>IF('Service Paid by Medicaid'!C44="","",'Service Paid by Medicaid'!C44)</f>
        <v/>
      </c>
      <c r="D40" s="82" t="str">
        <f>IF('Service Paid by Medicaid'!D44="","",'Service Paid by Medicaid'!D44)</f>
        <v/>
      </c>
      <c r="E40" s="58" t="str">
        <f>IF('Service Paid by Medicaid'!E44="","",'Service Paid by Medicaid'!E44)</f>
        <v/>
      </c>
      <c r="F40" s="619" t="str">
        <f>IF(AND($D40=""),"",SUMIFS('Financial Summary &amp; Stats'!$F:$F,'Financial Summary &amp; Stats'!$B:$B,'Settlement Calculation'!$D40,'Financial Summary &amp; Stats'!$E:$E,'Settlement Calculation'!$C40))</f>
        <v/>
      </c>
      <c r="G40" s="620" t="str">
        <f>IF(AND($D40=""),"",SUMIFS('Financial Summary &amp; Stats'!$U:$U,'Financial Summary &amp; Stats'!$B:$B,'Settlement Calculation'!$D40,'Financial Summary &amp; Stats'!$E:$E,'Settlement Calculation'!$C40))</f>
        <v/>
      </c>
      <c r="H40" s="621" t="str">
        <f>IF(AND($D40=""),"",SUMIFS('Financial Summary &amp; Stats'!$V:$V,'Financial Summary &amp; Stats'!$B:$B,'Settlement Calculation'!$D40,'Financial Summary &amp; Stats'!$E:$E,'Settlement Calculation'!$C40))</f>
        <v/>
      </c>
      <c r="I40" s="593"/>
      <c r="J40" s="286" t="str">
        <f t="shared" si="7"/>
        <v/>
      </c>
      <c r="K40" s="378"/>
      <c r="L40" s="378"/>
      <c r="M40" s="286" t="str">
        <f t="shared" si="8"/>
        <v/>
      </c>
    </row>
    <row r="41" spans="1:13" ht="20.100000000000001" customHeight="1" x14ac:dyDescent="0.2">
      <c r="A41" s="22">
        <f t="shared" si="2"/>
        <v>31</v>
      </c>
      <c r="B41" s="58" t="str">
        <f>IF(+'Service Paid by Medicaid'!A45="","",+'Service Paid by Medicaid'!A45)</f>
        <v/>
      </c>
      <c r="C41" s="618" t="str">
        <f>IF('Service Paid by Medicaid'!C45="","",'Service Paid by Medicaid'!C45)</f>
        <v/>
      </c>
      <c r="D41" s="82" t="str">
        <f>IF('Service Paid by Medicaid'!D45="","",'Service Paid by Medicaid'!D45)</f>
        <v/>
      </c>
      <c r="E41" s="58" t="str">
        <f>IF('Service Paid by Medicaid'!E45="","",'Service Paid by Medicaid'!E45)</f>
        <v/>
      </c>
      <c r="F41" s="619" t="str">
        <f>IF(AND($D41=""),"",SUMIFS('Financial Summary &amp; Stats'!$F:$F,'Financial Summary &amp; Stats'!$B:$B,'Settlement Calculation'!$D41,'Financial Summary &amp; Stats'!$E:$E,'Settlement Calculation'!$C41))</f>
        <v/>
      </c>
      <c r="G41" s="620" t="str">
        <f>IF(AND($D41=""),"",SUMIFS('Financial Summary &amp; Stats'!$U:$U,'Financial Summary &amp; Stats'!$B:$B,'Settlement Calculation'!$D41,'Financial Summary &amp; Stats'!$E:$E,'Settlement Calculation'!$C41))</f>
        <v/>
      </c>
      <c r="H41" s="621" t="str">
        <f>IF(AND($D41=""),"",SUMIFS('Financial Summary &amp; Stats'!$V:$V,'Financial Summary &amp; Stats'!$B:$B,'Settlement Calculation'!$D41,'Financial Summary &amp; Stats'!$E:$E,'Settlement Calculation'!$C41))</f>
        <v/>
      </c>
      <c r="I41" s="593"/>
      <c r="J41" s="286" t="str">
        <f t="shared" si="7"/>
        <v/>
      </c>
      <c r="K41" s="378"/>
      <c r="L41" s="378"/>
      <c r="M41" s="286" t="str">
        <f t="shared" si="8"/>
        <v/>
      </c>
    </row>
    <row r="42" spans="1:13" ht="20.100000000000001" customHeight="1" x14ac:dyDescent="0.2">
      <c r="A42" s="22">
        <f t="shared" si="2"/>
        <v>32</v>
      </c>
      <c r="B42" s="25" t="s">
        <v>102</v>
      </c>
      <c r="C42" s="25"/>
      <c r="D42" s="83"/>
      <c r="E42" s="26"/>
      <c r="F42" s="42">
        <f>SUM(F38:F41)</f>
        <v>0</v>
      </c>
      <c r="G42" s="29">
        <f>IFERROR(SUM(G38:G41),"")</f>
        <v>0</v>
      </c>
      <c r="H42" s="367">
        <f t="shared" ref="H42:H43" si="9">IFERROR(ROUND(G42/F42,2),0)</f>
        <v>0</v>
      </c>
      <c r="I42" s="42">
        <f>SUM(I38:I41)</f>
        <v>0</v>
      </c>
      <c r="J42" s="360">
        <f>SUM(J38:J41)</f>
        <v>0</v>
      </c>
      <c r="K42" s="360">
        <f>SUM(K38:K41)</f>
        <v>0</v>
      </c>
      <c r="L42" s="360">
        <f>SUM(L38:L41)</f>
        <v>0</v>
      </c>
      <c r="M42" s="360">
        <f>SUM(M38:M41)</f>
        <v>0</v>
      </c>
    </row>
    <row r="43" spans="1:13" ht="20.100000000000001" customHeight="1" thickBot="1" x14ac:dyDescent="0.25">
      <c r="A43" s="22">
        <f t="shared" si="2"/>
        <v>33</v>
      </c>
      <c r="B43" s="46" t="s">
        <v>38</v>
      </c>
      <c r="C43" s="46"/>
      <c r="D43" s="84"/>
      <c r="E43" s="47"/>
      <c r="F43" s="49">
        <f>+F42+F36</f>
        <v>0</v>
      </c>
      <c r="G43" s="48">
        <f>IFERROR(ROUND(+G42+G36,0),"")</f>
        <v>0</v>
      </c>
      <c r="H43" s="368">
        <f t="shared" si="9"/>
        <v>0</v>
      </c>
      <c r="I43" s="49">
        <f>+I42+I36</f>
        <v>0</v>
      </c>
      <c r="J43" s="361">
        <f>+J42+J36</f>
        <v>0</v>
      </c>
      <c r="K43" s="361">
        <f>+K42+K36</f>
        <v>0</v>
      </c>
      <c r="L43" s="361">
        <f>+L42+L36</f>
        <v>0</v>
      </c>
      <c r="M43" s="361">
        <f>+M42+M36</f>
        <v>0</v>
      </c>
    </row>
    <row r="44" spans="1:13" ht="20.100000000000001" customHeight="1" thickTop="1" x14ac:dyDescent="0.2">
      <c r="B44" s="31"/>
      <c r="C44" s="31"/>
      <c r="E44" s="32"/>
      <c r="F44" s="33"/>
    </row>
  </sheetData>
  <sheetProtection algorithmName="SHA-512" hashValue="Nb9m5h8YoFnMxWdCTBkvjEgXGFTb4oBQCzeO6PbQgO5YCPI3tl0CXiieQLOhx2ENIf/e8zIx6Sm8144CkvPuNw==" saltValue="O3UEEuybu7/h8cvwHmQ2MQ==" spinCount="100000" sheet="1" objects="1" scenarios="1"/>
  <mergeCells count="6">
    <mergeCell ref="B7:C7"/>
    <mergeCell ref="B1:M1"/>
    <mergeCell ref="B2:M2"/>
    <mergeCell ref="B3:M3"/>
    <mergeCell ref="B4:M4"/>
    <mergeCell ref="B5:M5"/>
  </mergeCells>
  <pageMargins left="0.7" right="0.7" top="0.75" bottom="0.75" header="0.3" footer="0.3"/>
  <pageSetup paperSize="5" scale="70" orientation="landscape" r:id="rId1"/>
  <headerFooter>
    <oddFooter>&amp;L&amp;D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H45"/>
  <sheetViews>
    <sheetView workbookViewId="0">
      <selection activeCell="A15" sqref="A15"/>
    </sheetView>
  </sheetViews>
  <sheetFormatPr defaultColWidth="9.28515625" defaultRowHeight="15" x14ac:dyDescent="0.2"/>
  <cols>
    <col min="1" max="1" width="70.7109375" style="51" customWidth="1"/>
    <col min="2" max="2" width="36.5703125" style="51" bestFit="1" customWidth="1"/>
    <col min="3" max="3" width="15.28515625" style="51" customWidth="1"/>
    <col min="4" max="4" width="20.28515625" style="51" bestFit="1" customWidth="1"/>
    <col min="5" max="5" width="20.28515625" style="77" bestFit="1" customWidth="1"/>
    <col min="6" max="6" width="15.28515625" style="51" bestFit="1" customWidth="1"/>
    <col min="7" max="7" width="15.28515625" style="91" customWidth="1"/>
    <col min="8" max="16384" width="9.28515625" style="51"/>
  </cols>
  <sheetData>
    <row r="1" spans="1:8" ht="15.75" x14ac:dyDescent="0.25">
      <c r="A1" s="636" t="str">
        <f>+'General Information'!A2:D2</f>
        <v xml:space="preserve">FINANCIAL AND STATISTICAL REPORT </v>
      </c>
      <c r="B1" s="636"/>
      <c r="C1" s="637"/>
      <c r="D1" s="637"/>
      <c r="E1" s="637"/>
      <c r="F1" s="637"/>
      <c r="G1" s="637"/>
      <c r="H1" s="11"/>
    </row>
    <row r="2" spans="1:8" ht="15.75" x14ac:dyDescent="0.25">
      <c r="A2" s="636" t="str">
        <f>+'General Information'!A3:D3</f>
        <v>GENERAL INFORMATION</v>
      </c>
      <c r="B2" s="636"/>
      <c r="C2" s="637"/>
      <c r="D2" s="637"/>
      <c r="E2" s="637"/>
      <c r="F2" s="637"/>
      <c r="G2" s="637"/>
      <c r="H2" s="11"/>
    </row>
    <row r="3" spans="1:8" ht="15.75" x14ac:dyDescent="0.25">
      <c r="A3" s="10" t="s">
        <v>21</v>
      </c>
      <c r="B3" s="10"/>
      <c r="C3" s="19">
        <f>+'General Information'!B10</f>
        <v>0</v>
      </c>
      <c r="D3" s="60"/>
      <c r="E3" s="74"/>
      <c r="F3" s="13"/>
      <c r="G3" s="87"/>
      <c r="H3" s="61"/>
    </row>
    <row r="4" spans="1:8" ht="15.75" x14ac:dyDescent="0.25">
      <c r="A4" s="8" t="s">
        <v>22</v>
      </c>
      <c r="B4" s="8"/>
      <c r="C4" s="20">
        <f>+'General Information'!B6</f>
        <v>0</v>
      </c>
      <c r="D4" s="62"/>
      <c r="E4" s="74"/>
      <c r="F4" s="63"/>
      <c r="G4" s="88"/>
      <c r="H4" s="64"/>
    </row>
    <row r="5" spans="1:8" ht="15.75" x14ac:dyDescent="0.25">
      <c r="A5" s="8"/>
      <c r="B5" s="8"/>
      <c r="C5" s="20"/>
      <c r="D5" s="62"/>
      <c r="E5" s="74"/>
      <c r="F5" s="63"/>
      <c r="G5" s="88"/>
      <c r="H5" s="64"/>
    </row>
    <row r="6" spans="1:8" ht="15.75" x14ac:dyDescent="0.25">
      <c r="A6" s="8"/>
      <c r="B6" s="8"/>
      <c r="C6" s="20"/>
      <c r="D6" s="62"/>
      <c r="E6" s="74"/>
      <c r="F6" s="63"/>
      <c r="G6" s="88"/>
      <c r="H6" s="64"/>
    </row>
    <row r="7" spans="1:8" ht="15.75" x14ac:dyDescent="0.25">
      <c r="A7" s="94" t="s">
        <v>103</v>
      </c>
      <c r="B7" s="94"/>
      <c r="C7" s="95"/>
      <c r="D7" s="62"/>
      <c r="E7" s="74"/>
      <c r="F7" s="63"/>
      <c r="G7" s="88"/>
      <c r="H7" s="64"/>
    </row>
    <row r="8" spans="1:8" ht="15.75" x14ac:dyDescent="0.25">
      <c r="A8" s="96" t="s">
        <v>106</v>
      </c>
      <c r="B8" s="96"/>
      <c r="C8" s="97"/>
    </row>
    <row r="9" spans="1:8" ht="15.75" x14ac:dyDescent="0.25">
      <c r="A9" s="96" t="s">
        <v>259</v>
      </c>
      <c r="B9" s="96"/>
      <c r="C9" s="17"/>
      <c r="D9"/>
      <c r="E9" s="21"/>
      <c r="F9"/>
      <c r="G9" s="89"/>
    </row>
    <row r="10" spans="1:8" ht="15.75" x14ac:dyDescent="0.25">
      <c r="A10" s="96" t="s">
        <v>104</v>
      </c>
      <c r="B10" s="96"/>
      <c r="C10" s="17"/>
      <c r="D10"/>
      <c r="E10" s="21"/>
      <c r="F10"/>
      <c r="G10" s="89"/>
    </row>
    <row r="11" spans="1:8" ht="15.75" x14ac:dyDescent="0.25">
      <c r="A11" s="96" t="s">
        <v>105</v>
      </c>
      <c r="B11" s="96"/>
      <c r="C11" s="17"/>
      <c r="D11"/>
      <c r="E11" s="21"/>
      <c r="F11"/>
      <c r="G11" s="89"/>
    </row>
    <row r="13" spans="1:8" ht="31.5" x14ac:dyDescent="0.25">
      <c r="A13" s="53" t="s">
        <v>39</v>
      </c>
      <c r="B13" s="53" t="s">
        <v>39</v>
      </c>
      <c r="C13" s="53" t="s">
        <v>27</v>
      </c>
      <c r="D13" s="75" t="s">
        <v>42</v>
      </c>
      <c r="E13" s="54" t="s">
        <v>62</v>
      </c>
      <c r="F13" s="594" t="s">
        <v>19</v>
      </c>
      <c r="G13" s="51"/>
    </row>
    <row r="14" spans="1:8" ht="15.75" x14ac:dyDescent="0.25">
      <c r="A14" s="57" t="s">
        <v>65</v>
      </c>
      <c r="B14" s="57"/>
      <c r="C14" s="55"/>
      <c r="D14" s="76"/>
      <c r="E14" s="56"/>
      <c r="F14" s="90"/>
      <c r="G14" s="51"/>
    </row>
    <row r="15" spans="1:8" x14ac:dyDescent="0.2">
      <c r="A15" s="609"/>
      <c r="B15" s="132" t="str">
        <f>IF(ISBLANK(A15),"",(INDEX('Crosswalk '!$D$9:$D$94,MATCH('Service Paid by Medicaid'!$A15,'Crosswalk '!$K$9:$K$94,0))))</f>
        <v/>
      </c>
      <c r="C15" s="132" t="str">
        <f>IF(ISBLANK(A15),"",INDEX('Crosswalk '!$G$9:$G$94,MATCH('Service Paid by Medicaid'!$A15,'Crosswalk '!$K$9:$K$94,0)))</f>
        <v/>
      </c>
      <c r="D15" s="612" t="str">
        <f>IF(ISBLANK(A15),"",INDEX('Crosswalk '!$B$9:$B$94,MATCH('Service Paid by Medicaid'!$A15,'Crosswalk '!$K$9:$K$94,0)))</f>
        <v/>
      </c>
      <c r="E15" s="603" t="str">
        <f>IF(ISBLANK(A15),"",(INDEX('Crosswalk '!$C$9:$C$94,MATCH('Service Paid by Medicaid'!$A15,'Crosswalk '!$K$9:$K$94,0))))</f>
        <v/>
      </c>
      <c r="F15" s="603" t="str">
        <f>IF(ISBLANK(A15),"",INDEX('Crosswalk '!$E$9:$E$94,MATCH('Service Paid by Medicaid'!$A15,'Crosswalk '!$K$9:$K$94,0)))</f>
        <v/>
      </c>
      <c r="G15" s="51"/>
    </row>
    <row r="16" spans="1:8" x14ac:dyDescent="0.2">
      <c r="A16" s="609"/>
      <c r="B16" s="132" t="str">
        <f>IF(ISBLANK(A16),"",(INDEX('Crosswalk '!$D$9:$D$94,MATCH('Service Paid by Medicaid'!$A16,'Crosswalk '!$K$9:$K$94,0))))</f>
        <v/>
      </c>
      <c r="C16" s="132" t="str">
        <f>IF(ISBLANK(A16),"",INDEX('Crosswalk '!$G$9:$G$94,MATCH('Service Paid by Medicaid'!$A16,'Crosswalk '!$K$9:$K$94,0)))</f>
        <v/>
      </c>
      <c r="D16" s="612" t="str">
        <f>IF(ISBLANK(A16),"",INDEX('Crosswalk '!$B$9:$B$94,MATCH('Service Paid by Medicaid'!$A16,'Crosswalk '!$K$9:$K$94,0)))</f>
        <v/>
      </c>
      <c r="E16" s="603" t="str">
        <f>IF(ISBLANK(A16),"",(INDEX('Crosswalk '!$C$9:$C$94,MATCH('Service Paid by Medicaid'!$A16,'Crosswalk '!$K$9:$K$94,0))))</f>
        <v/>
      </c>
      <c r="F16" s="603" t="str">
        <f>IF(ISBLANK(A16),"",INDEX('Crosswalk '!$E$9:$E$94,MATCH('Service Paid by Medicaid'!$A16,'Crosswalk '!$K$9:$K$94,0)))</f>
        <v/>
      </c>
      <c r="G16" s="51"/>
    </row>
    <row r="17" spans="1:7" x14ac:dyDescent="0.2">
      <c r="A17" s="609"/>
      <c r="B17" s="132" t="str">
        <f>IF(ISBLANK(A17),"",(INDEX('Crosswalk '!$D$9:$D$94,MATCH('Service Paid by Medicaid'!$A17,'Crosswalk '!$K$9:$K$94,0))))</f>
        <v/>
      </c>
      <c r="C17" s="132" t="str">
        <f>IF(ISBLANK(A17),"",INDEX('Crosswalk '!$G$9:$G$94,MATCH('Service Paid by Medicaid'!$A17,'Crosswalk '!$K$9:$K$94,0)))</f>
        <v/>
      </c>
      <c r="D17" s="612" t="str">
        <f>IF(ISBLANK(A17),"",INDEX('Crosswalk '!$B$9:$B$94,MATCH('Service Paid by Medicaid'!$A17,'Crosswalk '!$K$9:$K$94,0)))</f>
        <v/>
      </c>
      <c r="E17" s="603" t="str">
        <f>IF(ISBLANK(A17),"",(INDEX('Crosswalk '!$C$9:$C$94,MATCH('Service Paid by Medicaid'!$A17,'Crosswalk '!$K$9:$K$94,0))))</f>
        <v/>
      </c>
      <c r="F17" s="603" t="str">
        <f>IF(ISBLANK(A17),"",INDEX('Crosswalk '!$E$9:$E$94,MATCH('Service Paid by Medicaid'!$A17,'Crosswalk '!$K$9:$K$94,0)))</f>
        <v/>
      </c>
      <c r="G17" s="51"/>
    </row>
    <row r="18" spans="1:7" x14ac:dyDescent="0.2">
      <c r="A18" s="609"/>
      <c r="B18" s="132" t="str">
        <f>IF(ISBLANK(A18),"",(INDEX('Crosswalk '!$D$9:$D$94,MATCH('Service Paid by Medicaid'!$A18,'Crosswalk '!$K$9:$K$94,0))))</f>
        <v/>
      </c>
      <c r="C18" s="132" t="str">
        <f>IF(ISBLANK(A18),"",INDEX('Crosswalk '!$G$9:$G$94,MATCH('Service Paid by Medicaid'!$A18,'Crosswalk '!$K$9:$K$94,0)))</f>
        <v/>
      </c>
      <c r="D18" s="612" t="str">
        <f>IF(ISBLANK(A18),"",INDEX('Crosswalk '!$B$9:$B$94,MATCH('Service Paid by Medicaid'!$A18,'Crosswalk '!$K$9:$K$94,0)))</f>
        <v/>
      </c>
      <c r="E18" s="603" t="str">
        <f>IF(ISBLANK(A18),"",(INDEX('Crosswalk '!$C$9:$C$94,MATCH('Service Paid by Medicaid'!$A18,'Crosswalk '!$K$9:$K$94,0))))</f>
        <v/>
      </c>
      <c r="F18" s="603" t="str">
        <f>IF(ISBLANK(A18),"",INDEX('Crosswalk '!$E$9:$E$94,MATCH('Service Paid by Medicaid'!$A18,'Crosswalk '!$K$9:$K$94,0)))</f>
        <v/>
      </c>
      <c r="G18" s="51"/>
    </row>
    <row r="19" spans="1:7" x14ac:dyDescent="0.2">
      <c r="A19" s="609"/>
      <c r="B19" s="132" t="str">
        <f>IF(ISBLANK(A19),"",(INDEX('Crosswalk '!$D$9:$D$94,MATCH('Service Paid by Medicaid'!$A19,'Crosswalk '!$K$9:$K$94,0))))</f>
        <v/>
      </c>
      <c r="C19" s="132" t="str">
        <f>IF(ISBLANK(A19),"",INDEX('Crosswalk '!$G$9:$G$94,MATCH('Service Paid by Medicaid'!$A19,'Crosswalk '!$K$9:$K$94,0)))</f>
        <v/>
      </c>
      <c r="D19" s="612" t="str">
        <f>IF(ISBLANK(A19),"",INDEX('Crosswalk '!$B$9:$B$94,MATCH('Service Paid by Medicaid'!$A19,'Crosswalk '!$K$9:$K$94,0)))</f>
        <v/>
      </c>
      <c r="E19" s="603" t="str">
        <f>IF(ISBLANK(A19),"",(INDEX('Crosswalk '!$C$9:$C$94,MATCH('Service Paid by Medicaid'!$A19,'Crosswalk '!$K$9:$K$94,0))))</f>
        <v/>
      </c>
      <c r="F19" s="603" t="str">
        <f>IF(ISBLANK(A19),"",INDEX('Crosswalk '!$E$9:$E$94,MATCH('Service Paid by Medicaid'!$A19,'Crosswalk '!$K$9:$K$94,0)))</f>
        <v/>
      </c>
      <c r="G19" s="51"/>
    </row>
    <row r="20" spans="1:7" x14ac:dyDescent="0.2">
      <c r="A20" s="609"/>
      <c r="B20" s="132" t="str">
        <f>IF(ISBLANK(A20),"",(INDEX('Crosswalk '!$D$9:$D$94,MATCH('Service Paid by Medicaid'!$A20,'Crosswalk '!$K$9:$K$94,0))))</f>
        <v/>
      </c>
      <c r="C20" s="132" t="str">
        <f>IF(ISBLANK(A20),"",INDEX('Crosswalk '!$G$9:$G$94,MATCH('Service Paid by Medicaid'!$A20,'Crosswalk '!$K$9:$K$94,0)))</f>
        <v/>
      </c>
      <c r="D20" s="612" t="str">
        <f>IF(ISBLANK(A20),"",INDEX('Crosswalk '!$B$9:$B$94,MATCH('Service Paid by Medicaid'!$A20,'Crosswalk '!$K$9:$K$94,0)))</f>
        <v/>
      </c>
      <c r="E20" s="603" t="str">
        <f>IF(ISBLANK(A20),"",(INDEX('Crosswalk '!$C$9:$C$94,MATCH('Service Paid by Medicaid'!$A20,'Crosswalk '!$K$9:$K$94,0))))</f>
        <v/>
      </c>
      <c r="F20" s="603" t="str">
        <f>IF(ISBLANK(A20),"",INDEX('Crosswalk '!$E$9:$E$94,MATCH('Service Paid by Medicaid'!$A20,'Crosswalk '!$K$9:$K$94,0)))</f>
        <v/>
      </c>
      <c r="G20" s="51"/>
    </row>
    <row r="21" spans="1:7" x14ac:dyDescent="0.2">
      <c r="A21" s="609"/>
      <c r="B21" s="132" t="str">
        <f>IF(ISBLANK(A21),"",(INDEX('Crosswalk '!$D$9:$D$94,MATCH('Service Paid by Medicaid'!$A21,'Crosswalk '!$K$9:$K$94,0))))</f>
        <v/>
      </c>
      <c r="C21" s="132" t="str">
        <f>IF(ISBLANK(A21),"",INDEX('Crosswalk '!$G$9:$G$94,MATCH('Service Paid by Medicaid'!$A21,'Crosswalk '!$K$9:$K$94,0)))</f>
        <v/>
      </c>
      <c r="D21" s="612" t="str">
        <f>IF(ISBLANK(A21),"",INDEX('Crosswalk '!$B$9:$B$94,MATCH('Service Paid by Medicaid'!$A21,'Crosswalk '!$K$9:$K$94,0)))</f>
        <v/>
      </c>
      <c r="E21" s="603" t="str">
        <f>IF(ISBLANK(A21),"",(INDEX('Crosswalk '!$C$9:$C$94,MATCH('Service Paid by Medicaid'!$A21,'Crosswalk '!$K$9:$K$94,0))))</f>
        <v/>
      </c>
      <c r="F21" s="603" t="str">
        <f>IF(ISBLANK(A21),"",INDEX('Crosswalk '!$E$9:$E$94,MATCH('Service Paid by Medicaid'!$A21,'Crosswalk '!$K$9:$K$94,0)))</f>
        <v/>
      </c>
      <c r="G21" s="51"/>
    </row>
    <row r="22" spans="1:7" x14ac:dyDescent="0.2">
      <c r="A22" s="609"/>
      <c r="B22" s="132" t="str">
        <f>IF(ISBLANK(A22),"",(INDEX('Crosswalk '!$D$9:$D$94,MATCH('Service Paid by Medicaid'!$A22,'Crosswalk '!$K$9:$K$94,0))))</f>
        <v/>
      </c>
      <c r="C22" s="132" t="str">
        <f>IF(ISBLANK(A22),"",INDEX('Crosswalk '!$G$9:$G$94,MATCH('Service Paid by Medicaid'!$A22,'Crosswalk '!$K$9:$K$94,0)))</f>
        <v/>
      </c>
      <c r="D22" s="612" t="str">
        <f>IF(ISBLANK(A22),"",INDEX('Crosswalk '!$B$9:$B$94,MATCH('Service Paid by Medicaid'!$A22,'Crosswalk '!$K$9:$K$94,0)))</f>
        <v/>
      </c>
      <c r="E22" s="603" t="str">
        <f>IF(ISBLANK(A22),"",(INDEX('Crosswalk '!$C$9:$C$94,MATCH('Service Paid by Medicaid'!$A22,'Crosswalk '!$K$9:$K$94,0))))</f>
        <v/>
      </c>
      <c r="F22" s="603" t="str">
        <f>IF(ISBLANK(A22),"",INDEX('Crosswalk '!$E$9:$E$94,MATCH('Service Paid by Medicaid'!$A22,'Crosswalk '!$K$9:$K$94,0)))</f>
        <v/>
      </c>
      <c r="G22" s="51"/>
    </row>
    <row r="23" spans="1:7" x14ac:dyDescent="0.2">
      <c r="A23" s="609"/>
      <c r="B23" s="132" t="str">
        <f>IF(ISBLANK(A23),"",(INDEX('Crosswalk '!$D$9:$D$94,MATCH('Service Paid by Medicaid'!$A23,'Crosswalk '!$K$9:$K$94,0))))</f>
        <v/>
      </c>
      <c r="C23" s="132" t="str">
        <f>IF(ISBLANK(A23),"",INDEX('Crosswalk '!$G$9:$G$94,MATCH('Service Paid by Medicaid'!$A23,'Crosswalk '!$K$9:$K$94,0)))</f>
        <v/>
      </c>
      <c r="D23" s="612" t="str">
        <f>IF(ISBLANK(A23),"",INDEX('Crosswalk '!$B$9:$B$94,MATCH('Service Paid by Medicaid'!$A23,'Crosswalk '!$K$9:$K$94,0)))</f>
        <v/>
      </c>
      <c r="E23" s="603" t="str">
        <f>IF(ISBLANK(A23),"",(INDEX('Crosswalk '!$C$9:$C$94,MATCH('Service Paid by Medicaid'!$A23,'Crosswalk '!$K$9:$K$94,0))))</f>
        <v/>
      </c>
      <c r="F23" s="603" t="str">
        <f>IF(ISBLANK(A23),"",INDEX('Crosswalk '!$E$9:$E$94,MATCH('Service Paid by Medicaid'!$A23,'Crosswalk '!$K$9:$K$94,0)))</f>
        <v/>
      </c>
      <c r="G23" s="51"/>
    </row>
    <row r="24" spans="1:7" ht="16.5" customHeight="1" x14ac:dyDescent="0.2">
      <c r="A24" s="609"/>
      <c r="B24" s="132" t="str">
        <f>IF(ISBLANK(A24),"",(INDEX('Crosswalk '!$D$9:$D$94,MATCH('Service Paid by Medicaid'!$A24,'Crosswalk '!$K$9:$K$94,0))))</f>
        <v/>
      </c>
      <c r="C24" s="132" t="str">
        <f>IF(ISBLANK(A24),"",INDEX('Crosswalk '!$G$9:$G$94,MATCH('Service Paid by Medicaid'!$A24,'Crosswalk '!$K$9:$K$94,0)))</f>
        <v/>
      </c>
      <c r="D24" s="612" t="str">
        <f>IF(ISBLANK(A24),"",INDEX('Crosswalk '!$B$9:$B$94,MATCH('Service Paid by Medicaid'!$A24,'Crosswalk '!$K$9:$K$94,0)))</f>
        <v/>
      </c>
      <c r="E24" s="603" t="str">
        <f>IF(ISBLANK(A24),"",(INDEX('Crosswalk '!$C$9:$C$94,MATCH('Service Paid by Medicaid'!$A24,'Crosswalk '!$K$9:$K$94,0))))</f>
        <v/>
      </c>
      <c r="F24" s="603" t="str">
        <f>IF(ISBLANK(A24),"",INDEX('Crosswalk '!$E$9:$E$94,MATCH('Service Paid by Medicaid'!$A24,'Crosswalk '!$K$9:$K$94,0)))</f>
        <v/>
      </c>
      <c r="G24" s="51"/>
    </row>
    <row r="25" spans="1:7" x14ac:dyDescent="0.2">
      <c r="A25" s="609"/>
      <c r="B25" s="132" t="str">
        <f>IF(ISBLANK(A25),"",(INDEX('Crosswalk '!$D$9:$D$94,MATCH('Service Paid by Medicaid'!$A25,'Crosswalk '!$K$9:$K$94,0))))</f>
        <v/>
      </c>
      <c r="C25" s="132" t="str">
        <f>IF(ISBLANK(A25),"",INDEX('Crosswalk '!$G$9:$G$94,MATCH('Service Paid by Medicaid'!$A25,'Crosswalk '!$K$9:$K$94,0)))</f>
        <v/>
      </c>
      <c r="D25" s="612" t="str">
        <f>IF(ISBLANK(A25),"",INDEX('Crosswalk '!$B$9:$B$94,MATCH('Service Paid by Medicaid'!$A25,'Crosswalk '!$K$9:$K$94,0)))</f>
        <v/>
      </c>
      <c r="E25" s="603" t="str">
        <f>IF(ISBLANK(A25),"",(INDEX('Crosswalk '!$C$9:$C$94,MATCH('Service Paid by Medicaid'!$A25,'Crosswalk '!$K$9:$K$94,0))))</f>
        <v/>
      </c>
      <c r="F25" s="603" t="str">
        <f>IF(ISBLANK(A25),"",INDEX('Crosswalk '!$E$9:$E$94,MATCH('Service Paid by Medicaid'!$A25,'Crosswalk '!$K$9:$K$94,0)))</f>
        <v/>
      </c>
      <c r="G25" s="51"/>
    </row>
    <row r="26" spans="1:7" x14ac:dyDescent="0.2">
      <c r="A26" s="609"/>
      <c r="B26" s="132" t="str">
        <f>IF(ISBLANK(A26),"",(INDEX('Crosswalk '!$D$9:$D$94,MATCH('Service Paid by Medicaid'!$A26,'Crosswalk '!$K$9:$K$94,0))))</f>
        <v/>
      </c>
      <c r="C26" s="132" t="str">
        <f>IF(ISBLANK(A26),"",INDEX('Crosswalk '!$G$9:$G$94,MATCH('Service Paid by Medicaid'!$A26,'Crosswalk '!$K$9:$K$94,0)))</f>
        <v/>
      </c>
      <c r="D26" s="612" t="str">
        <f>IF(ISBLANK(A26),"",INDEX('Crosswalk '!$B$9:$B$94,MATCH('Service Paid by Medicaid'!$A26,'Crosswalk '!$K$9:$K$94,0)))</f>
        <v/>
      </c>
      <c r="E26" s="603" t="str">
        <f>IF(ISBLANK(A26),"",(INDEX('Crosswalk '!$C$9:$C$94,MATCH('Service Paid by Medicaid'!$A26,'Crosswalk '!$K$9:$K$94,0))))</f>
        <v/>
      </c>
      <c r="F26" s="603" t="str">
        <f>IF(ISBLANK(A26),"",INDEX('Crosswalk '!$E$9:$E$94,MATCH('Service Paid by Medicaid'!$A26,'Crosswalk '!$K$9:$K$94,0)))</f>
        <v/>
      </c>
      <c r="G26" s="51"/>
    </row>
    <row r="27" spans="1:7" x14ac:dyDescent="0.2">
      <c r="A27" s="609"/>
      <c r="B27" s="132" t="str">
        <f>IF(ISBLANK(A27),"",(INDEX('Crosswalk '!$D$9:$D$94,MATCH('Service Paid by Medicaid'!$A27,'Crosswalk '!$K$9:$K$94,0))))</f>
        <v/>
      </c>
      <c r="C27" s="132" t="str">
        <f>IF(ISBLANK(A27),"",INDEX('Crosswalk '!$G$9:$G$94,MATCH('Service Paid by Medicaid'!$A27,'Crosswalk '!$K$9:$K$94,0)))</f>
        <v/>
      </c>
      <c r="D27" s="612" t="str">
        <f>IF(ISBLANK(A27),"",INDEX('Crosswalk '!$B$9:$B$94,MATCH('Service Paid by Medicaid'!$A27,'Crosswalk '!$K$9:$K$94,0)))</f>
        <v/>
      </c>
      <c r="E27" s="603" t="str">
        <f>IF(ISBLANK(A27),"",(INDEX('Crosswalk '!$C$9:$C$94,MATCH('Service Paid by Medicaid'!$A27,'Crosswalk '!$K$9:$K$94,0))))</f>
        <v/>
      </c>
      <c r="F27" s="603" t="str">
        <f>IF(ISBLANK(A27),"",INDEX('Crosswalk '!$E$9:$E$94,MATCH('Service Paid by Medicaid'!$A27,'Crosswalk '!$K$9:$K$94,0)))</f>
        <v/>
      </c>
      <c r="G27" s="51"/>
    </row>
    <row r="28" spans="1:7" x14ac:dyDescent="0.2">
      <c r="A28" s="609"/>
      <c r="B28" s="132" t="str">
        <f>IF(ISBLANK(A28),"",(INDEX('Crosswalk '!$D$9:$D$94,MATCH('Service Paid by Medicaid'!$A28,'Crosswalk '!$K$9:$K$94,0))))</f>
        <v/>
      </c>
      <c r="C28" s="132" t="str">
        <f>IF(ISBLANK(A28),"",INDEX('Crosswalk '!$G$9:$G$94,MATCH('Service Paid by Medicaid'!$A28,'Crosswalk '!$K$9:$K$94,0)))</f>
        <v/>
      </c>
      <c r="D28" s="612" t="str">
        <f>IF(ISBLANK(A28),"",INDEX('Crosswalk '!$B$9:$B$94,MATCH('Service Paid by Medicaid'!$A28,'Crosswalk '!$K$9:$K$94,0)))</f>
        <v/>
      </c>
      <c r="E28" s="603" t="str">
        <f>IF(ISBLANK(A28),"",(INDEX('Crosswalk '!$C$9:$C$94,MATCH('Service Paid by Medicaid'!$A28,'Crosswalk '!$K$9:$K$94,0))))</f>
        <v/>
      </c>
      <c r="F28" s="603" t="str">
        <f>IF(ISBLANK(A28),"",INDEX('Crosswalk '!$E$9:$E$94,MATCH('Service Paid by Medicaid'!$A28,'Crosswalk '!$K$9:$K$94,0)))</f>
        <v/>
      </c>
      <c r="G28" s="51"/>
    </row>
    <row r="29" spans="1:7" x14ac:dyDescent="0.2">
      <c r="A29" s="609"/>
      <c r="B29" s="132" t="str">
        <f>IF(ISBLANK(A29),"",(INDEX('Crosswalk '!$D$9:$D$94,MATCH('Service Paid by Medicaid'!$A29,'Crosswalk '!$K$9:$K$94,0))))</f>
        <v/>
      </c>
      <c r="C29" s="132" t="str">
        <f>IF(ISBLANK(A29),"",INDEX('Crosswalk '!$G$9:$G$94,MATCH('Service Paid by Medicaid'!$A29,'Crosswalk '!$K$9:$K$94,0)))</f>
        <v/>
      </c>
      <c r="D29" s="612" t="str">
        <f>IF(ISBLANK(A29),"",INDEX('Crosswalk '!$B$9:$B$94,MATCH('Service Paid by Medicaid'!$A29,'Crosswalk '!$K$9:$K$94,0)))</f>
        <v/>
      </c>
      <c r="E29" s="603" t="str">
        <f>IF(ISBLANK(A29),"",(INDEX('Crosswalk '!$C$9:$C$94,MATCH('Service Paid by Medicaid'!$A29,'Crosswalk '!$K$9:$K$94,0))))</f>
        <v/>
      </c>
      <c r="F29" s="603" t="str">
        <f>IF(ISBLANK(A29),"",INDEX('Crosswalk '!$E$9:$E$94,MATCH('Service Paid by Medicaid'!$A29,'Crosswalk '!$K$9:$K$94,0)))</f>
        <v/>
      </c>
      <c r="G29" s="51"/>
    </row>
    <row r="30" spans="1:7" x14ac:dyDescent="0.2">
      <c r="A30" s="609"/>
      <c r="B30" s="132" t="str">
        <f>IF(ISBLANK(A30),"",(INDEX('Crosswalk '!$D$9:$D$94,MATCH('Service Paid by Medicaid'!$A30,'Crosswalk '!$K$9:$K$94,0))))</f>
        <v/>
      </c>
      <c r="C30" s="132" t="str">
        <f>IF(ISBLANK(A30),"",INDEX('Crosswalk '!$G$9:$G$94,MATCH('Service Paid by Medicaid'!$A30,'Crosswalk '!$K$9:$K$94,0)))</f>
        <v/>
      </c>
      <c r="D30" s="612" t="str">
        <f>IF(ISBLANK(A30),"",INDEX('Crosswalk '!$B$9:$B$94,MATCH('Service Paid by Medicaid'!$A30,'Crosswalk '!$K$9:$K$94,0)))</f>
        <v/>
      </c>
      <c r="E30" s="603" t="str">
        <f>IF(ISBLANK(A30),"",(INDEX('Crosswalk '!$C$9:$C$94,MATCH('Service Paid by Medicaid'!$A30,'Crosswalk '!$K$9:$K$94,0))))</f>
        <v/>
      </c>
      <c r="F30" s="603" t="str">
        <f>IF(ISBLANK(A30),"",INDEX('Crosswalk '!$E$9:$E$94,MATCH('Service Paid by Medicaid'!$A30,'Crosswalk '!$K$9:$K$94,0)))</f>
        <v/>
      </c>
      <c r="G30" s="51"/>
    </row>
    <row r="31" spans="1:7" x14ac:dyDescent="0.2">
      <c r="A31" s="609"/>
      <c r="B31" s="132" t="str">
        <f>IF(ISBLANK(A31),"",(INDEX('Crosswalk '!$D$9:$D$94,MATCH('Service Paid by Medicaid'!$A31,'Crosswalk '!$K$9:$K$94,0))))</f>
        <v/>
      </c>
      <c r="C31" s="132" t="str">
        <f>IF(ISBLANK(A31),"",INDEX('Crosswalk '!$G$9:$G$94,MATCH('Service Paid by Medicaid'!$A31,'Crosswalk '!$K$9:$K$94,0)))</f>
        <v/>
      </c>
      <c r="D31" s="612" t="str">
        <f>IF(ISBLANK(A31),"",INDEX('Crosswalk '!$B$9:$B$94,MATCH('Service Paid by Medicaid'!$A31,'Crosswalk '!$K$9:$K$94,0)))</f>
        <v/>
      </c>
      <c r="E31" s="603" t="str">
        <f>IF(ISBLANK(A31),"",(INDEX('Crosswalk '!$C$9:$C$94,MATCH('Service Paid by Medicaid'!$A31,'Crosswalk '!$K$9:$K$94,0))))</f>
        <v/>
      </c>
      <c r="F31" s="603" t="str">
        <f>IF(ISBLANK(A31),"",INDEX('Crosswalk '!$E$9:$E$94,MATCH('Service Paid by Medicaid'!$A31,'Crosswalk '!$K$9:$K$94,0)))</f>
        <v/>
      </c>
      <c r="G31" s="51"/>
    </row>
    <row r="32" spans="1:7" x14ac:dyDescent="0.2">
      <c r="A32" s="609"/>
      <c r="B32" s="132" t="str">
        <f>IF(ISBLANK(A32),"",(INDEX('Crosswalk '!$D$9:$D$94,MATCH('Service Paid by Medicaid'!$A32,'Crosswalk '!$K$9:$K$94,0))))</f>
        <v/>
      </c>
      <c r="C32" s="132" t="str">
        <f>IF(ISBLANK(A32),"",INDEX('Crosswalk '!$G$9:$G$94,MATCH('Service Paid by Medicaid'!$A32,'Crosswalk '!$K$9:$K$94,0)))</f>
        <v/>
      </c>
      <c r="D32" s="612" t="str">
        <f>IF(ISBLANK(A32),"",INDEX('Crosswalk '!$B$9:$B$94,MATCH('Service Paid by Medicaid'!$A32,'Crosswalk '!$K$9:$K$94,0)))</f>
        <v/>
      </c>
      <c r="E32" s="603" t="str">
        <f>IF(ISBLANK(A32),"",(INDEX('Crosswalk '!$C$9:$C$94,MATCH('Service Paid by Medicaid'!$A32,'Crosswalk '!$K$9:$K$94,0))))</f>
        <v/>
      </c>
      <c r="F32" s="603" t="str">
        <f>IF(ISBLANK(A32),"",INDEX('Crosswalk '!$E$9:$E$94,MATCH('Service Paid by Medicaid'!$A32,'Crosswalk '!$K$9:$K$94,0)))</f>
        <v/>
      </c>
      <c r="G32" s="51"/>
    </row>
    <row r="33" spans="1:7" x14ac:dyDescent="0.2">
      <c r="A33" s="609"/>
      <c r="B33" s="132" t="str">
        <f>IF(ISBLANK(A33),"",(INDEX('Crosswalk '!$D$9:$D$94,MATCH('Service Paid by Medicaid'!$A33,'Crosswalk '!$K$9:$K$94,0))))</f>
        <v/>
      </c>
      <c r="C33" s="132" t="str">
        <f>IF(ISBLANK(A33),"",INDEX('Crosswalk '!$G$9:$G$94,MATCH('Service Paid by Medicaid'!$A33,'Crosswalk '!$K$9:$K$94,0)))</f>
        <v/>
      </c>
      <c r="D33" s="612" t="str">
        <f>IF(ISBLANK(A33),"",INDEX('Crosswalk '!$B$9:$B$94,MATCH('Service Paid by Medicaid'!$A33,'Crosswalk '!$K$9:$K$94,0)))</f>
        <v/>
      </c>
      <c r="E33" s="603" t="str">
        <f>IF(ISBLANK(A33),"",(INDEX('Crosswalk '!$C$9:$C$94,MATCH('Service Paid by Medicaid'!$A33,'Crosswalk '!$K$9:$K$94,0))))</f>
        <v/>
      </c>
      <c r="F33" s="603" t="str">
        <f>IF(ISBLANK(A33),"",INDEX('Crosswalk '!$E$9:$E$94,MATCH('Service Paid by Medicaid'!$A33,'Crosswalk '!$K$9:$K$94,0)))</f>
        <v/>
      </c>
      <c r="G33" s="51"/>
    </row>
    <row r="34" spans="1:7" x14ac:dyDescent="0.2">
      <c r="A34" s="609"/>
      <c r="B34" s="132" t="str">
        <f>IF(ISBLANK(A34),"",(INDEX('Crosswalk '!$D$9:$D$94,MATCH('Service Paid by Medicaid'!$A34,'Crosswalk '!$K$9:$K$94,0))))</f>
        <v/>
      </c>
      <c r="C34" s="132" t="str">
        <f>IF(ISBLANK(A34),"",INDEX('Crosswalk '!$G$9:$G$94,MATCH('Service Paid by Medicaid'!$A34,'Crosswalk '!$K$9:$K$94,0)))</f>
        <v/>
      </c>
      <c r="D34" s="612" t="str">
        <f>IF(ISBLANK(A34),"",INDEX('Crosswalk '!$B$9:$B$94,MATCH('Service Paid by Medicaid'!$A34,'Crosswalk '!$K$9:$K$94,0)))</f>
        <v/>
      </c>
      <c r="E34" s="603" t="str">
        <f>IF(ISBLANK(A34),"",(INDEX('Crosswalk '!$C$9:$C$94,MATCH('Service Paid by Medicaid'!$A34,'Crosswalk '!$K$9:$K$94,0))))</f>
        <v/>
      </c>
      <c r="F34" s="603" t="str">
        <f>IF(ISBLANK(A34),"",INDEX('Crosswalk '!$E$9:$E$94,MATCH('Service Paid by Medicaid'!$A34,'Crosswalk '!$K$9:$K$94,0)))</f>
        <v/>
      </c>
      <c r="G34" s="51"/>
    </row>
    <row r="35" spans="1:7" x14ac:dyDescent="0.2">
      <c r="A35" s="609"/>
      <c r="B35" s="132" t="str">
        <f>IF(ISBLANK(A35),"",(INDEX('Crosswalk '!$D$9:$D$94,MATCH('Service Paid by Medicaid'!$A35,'Crosswalk '!$K$9:$K$94,0))))</f>
        <v/>
      </c>
      <c r="C35" s="132" t="str">
        <f>IF(ISBLANK(A35),"",INDEX('Crosswalk '!$G$9:$G$94,MATCH('Service Paid by Medicaid'!$A35,'Crosswalk '!$K$9:$K$94,0)))</f>
        <v/>
      </c>
      <c r="D35" s="612" t="str">
        <f>IF(ISBLANK(A35),"",INDEX('Crosswalk '!$B$9:$B$94,MATCH('Service Paid by Medicaid'!$A35,'Crosswalk '!$K$9:$K$94,0)))</f>
        <v/>
      </c>
      <c r="E35" s="603" t="str">
        <f>IF(ISBLANK(A35),"",(INDEX('Crosswalk '!$C$9:$C$94,MATCH('Service Paid by Medicaid'!$A35,'Crosswalk '!$K$9:$K$94,0))))</f>
        <v/>
      </c>
      <c r="F35" s="603" t="str">
        <f>IF(ISBLANK(A35),"",INDEX('Crosswalk '!$E$9:$E$94,MATCH('Service Paid by Medicaid'!$A35,'Crosswalk '!$K$9:$K$94,0)))</f>
        <v/>
      </c>
      <c r="G35" s="51"/>
    </row>
    <row r="36" spans="1:7" x14ac:dyDescent="0.2">
      <c r="A36" s="609"/>
      <c r="B36" s="132" t="str">
        <f>IF(ISBLANK(A36),"",(INDEX('Crosswalk '!$D$9:$D$94,MATCH('Service Paid by Medicaid'!$A36,'Crosswalk '!$K$9:$K$94,0))))</f>
        <v/>
      </c>
      <c r="C36" s="132" t="str">
        <f>IF(ISBLANK(A36),"",INDEX('Crosswalk '!$G$9:$G$94,MATCH('Service Paid by Medicaid'!$A36,'Crosswalk '!$K$9:$K$94,0)))</f>
        <v/>
      </c>
      <c r="D36" s="612" t="str">
        <f>IF(ISBLANK(A36),"",INDEX('Crosswalk '!$B$9:$B$94,MATCH('Service Paid by Medicaid'!$A36,'Crosswalk '!$K$9:$K$94,0)))</f>
        <v/>
      </c>
      <c r="E36" s="603" t="str">
        <f>IF(ISBLANK(A36),"",(INDEX('Crosswalk '!$C$9:$C$94,MATCH('Service Paid by Medicaid'!$A36,'Crosswalk '!$K$9:$K$94,0))))</f>
        <v/>
      </c>
      <c r="F36" s="603" t="str">
        <f>IF(ISBLANK(A36),"",INDEX('Crosswalk '!$E$9:$E$94,MATCH('Service Paid by Medicaid'!$A36,'Crosswalk '!$K$9:$K$94,0)))</f>
        <v/>
      </c>
      <c r="G36" s="51"/>
    </row>
    <row r="37" spans="1:7" x14ac:dyDescent="0.2">
      <c r="A37" s="609"/>
      <c r="B37" s="132" t="str">
        <f>IF(ISBLANK(A37),"",(INDEX('Crosswalk '!$D$9:$D$94,MATCH('Service Paid by Medicaid'!$A37,'Crosswalk '!$K$9:$K$94,0))))</f>
        <v/>
      </c>
      <c r="C37" s="132" t="str">
        <f>IF(ISBLANK(A37),"",INDEX('Crosswalk '!$G$9:$G$94,MATCH('Service Paid by Medicaid'!$A37,'Crosswalk '!$K$9:$K$94,0)))</f>
        <v/>
      </c>
      <c r="D37" s="612" t="str">
        <f>IF(ISBLANK(A37),"",INDEX('Crosswalk '!$B$9:$B$94,MATCH('Service Paid by Medicaid'!$A37,'Crosswalk '!$K$9:$K$94,0)))</f>
        <v/>
      </c>
      <c r="E37" s="603" t="str">
        <f>IF(ISBLANK(A37),"",(INDEX('Crosswalk '!$C$9:$C$94,MATCH('Service Paid by Medicaid'!$A37,'Crosswalk '!$K$9:$K$94,0))))</f>
        <v/>
      </c>
      <c r="F37" s="603" t="str">
        <f>IF(ISBLANK(A37),"",INDEX('Crosswalk '!$E$9:$E$94,MATCH('Service Paid by Medicaid'!$A37,'Crosswalk '!$K$9:$K$94,0)))</f>
        <v/>
      </c>
      <c r="G37" s="51"/>
    </row>
    <row r="38" spans="1:7" x14ac:dyDescent="0.2">
      <c r="A38" s="609"/>
      <c r="B38" s="132" t="str">
        <f>IF(ISBLANK(A38),"",(INDEX('Crosswalk '!$D$9:$D$94,MATCH('Service Paid by Medicaid'!$A38,'Crosswalk '!$K$9:$K$94,0))))</f>
        <v/>
      </c>
      <c r="C38" s="132" t="str">
        <f>IF(ISBLANK(A38),"",INDEX('Crosswalk '!$G$9:$G$94,MATCH('Service Paid by Medicaid'!$A38,'Crosswalk '!$K$9:$K$94,0)))</f>
        <v/>
      </c>
      <c r="D38" s="612" t="str">
        <f>IF(ISBLANK(A38),"",INDEX('Crosswalk '!$B$9:$B$94,MATCH('Service Paid by Medicaid'!$A38,'Crosswalk '!$K$9:$K$94,0)))</f>
        <v/>
      </c>
      <c r="E38" s="603" t="str">
        <f>IF(ISBLANK(A38),"",(INDEX('Crosswalk '!$C$9:$C$94,MATCH('Service Paid by Medicaid'!$A38,'Crosswalk '!$K$9:$K$94,0))))</f>
        <v/>
      </c>
      <c r="F38" s="603" t="str">
        <f>IF(ISBLANK(A38),"",INDEX('Crosswalk '!$E$9:$E$94,MATCH('Service Paid by Medicaid'!$A38,'Crosswalk '!$K$9:$K$94,0)))</f>
        <v/>
      </c>
      <c r="G38" s="51"/>
    </row>
    <row r="39" spans="1:7" x14ac:dyDescent="0.2">
      <c r="A39" s="609"/>
      <c r="B39" s="132" t="str">
        <f>IF(ISBLANK(A39),"",(INDEX('Crosswalk '!$D$9:$D$94,MATCH('Service Paid by Medicaid'!$A39,'Crosswalk '!$K$9:$K$94,0))))</f>
        <v/>
      </c>
      <c r="C39" s="132" t="str">
        <f>IF(ISBLANK(A39),"",INDEX('Crosswalk '!$G$9:$G$94,MATCH('Service Paid by Medicaid'!$A39,'Crosswalk '!$K$9:$K$94,0)))</f>
        <v/>
      </c>
      <c r="D39" s="612" t="str">
        <f>IF(ISBLANK(A39),"",INDEX('Crosswalk '!$B$9:$B$94,MATCH('Service Paid by Medicaid'!$A39,'Crosswalk '!$K$9:$K$94,0)))</f>
        <v/>
      </c>
      <c r="E39" s="603" t="str">
        <f>IF(ISBLANK(A39),"",(INDEX('Crosswalk '!$C$9:$C$94,MATCH('Service Paid by Medicaid'!$A39,'Crosswalk '!$K$9:$K$94,0))))</f>
        <v/>
      </c>
      <c r="F39" s="603" t="str">
        <f>IF(ISBLANK(A39),"",INDEX('Crosswalk '!$E$9:$E$94,MATCH('Service Paid by Medicaid'!$A39,'Crosswalk '!$K$9:$K$94,0)))</f>
        <v/>
      </c>
      <c r="G39" s="51"/>
    </row>
    <row r="40" spans="1:7" x14ac:dyDescent="0.2">
      <c r="A40" s="617"/>
      <c r="B40" s="132" t="str">
        <f>IF(ISBLANK(A40),"",(INDEX('Crosswalk '!$D$9:$D$94,MATCH('Service Paid by Medicaid'!$A40,'Crosswalk '!$K$9:$K$94,0))))</f>
        <v/>
      </c>
      <c r="C40" s="132" t="str">
        <f>IF(ISBLANK(A40),"",INDEX('Crosswalk '!$G$9:$G$94,MATCH('Service Paid by Medicaid'!$A40,'Crosswalk '!$K$9:$K$94,0)))</f>
        <v/>
      </c>
      <c r="D40" s="612" t="str">
        <f>IF(ISBLANK(A40),"",INDEX('Crosswalk '!$B$9:$B$94,MATCH('Service Paid by Medicaid'!$A40,'Crosswalk '!$K$9:$K$94,0)))</f>
        <v/>
      </c>
      <c r="E40" s="603" t="str">
        <f>IF(ISBLANK(A40),"",(INDEX('Crosswalk '!$C$9:$C$94,MATCH('Service Paid by Medicaid'!$A40,'Crosswalk '!$K$9:$K$94,0))))</f>
        <v/>
      </c>
      <c r="F40" s="603" t="str">
        <f>IF(ISBLANK(A40),"",INDEX('Crosswalk '!$E$9:$E$94,MATCH('Service Paid by Medicaid'!$A40,'Crosswalk '!$K$9:$K$94,0)))</f>
        <v/>
      </c>
      <c r="G40" s="51"/>
    </row>
    <row r="41" spans="1:7" ht="15.75" x14ac:dyDescent="0.25">
      <c r="A41" s="610" t="s">
        <v>101</v>
      </c>
      <c r="B41" s="610"/>
      <c r="C41" s="611"/>
      <c r="D41" s="613"/>
      <c r="E41" s="56"/>
      <c r="F41" s="90"/>
      <c r="G41" s="51"/>
    </row>
    <row r="42" spans="1:7" x14ac:dyDescent="0.2">
      <c r="A42" s="609"/>
      <c r="B42" s="132" t="str">
        <f>IF(ISBLANK(A42),"",(INDEX('Crosswalk '!$D$97:$D$100,MATCH('Service Paid by Medicaid'!$A42,'Crosswalk '!$K$97:$K$100,0))))</f>
        <v/>
      </c>
      <c r="C42" s="132" t="str">
        <f>IF(ISBLANK(A42),"",INDEX('Crosswalk '!$G$97:$G$100,MATCH('Service Paid by Medicaid'!$A42,'Crosswalk '!$K$97:$K$100,0)))</f>
        <v/>
      </c>
      <c r="D42" s="612" t="str">
        <f>IF(ISBLANK(A42),"",INDEX('Crosswalk '!$B$97:$B$100,MATCH('Service Paid by Medicaid'!$A42,'Crosswalk '!$K$97:$K$100,0)))</f>
        <v/>
      </c>
      <c r="E42" s="129" t="str">
        <f>IF(ISBLANK(A42),"",(INDEX('Crosswalk '!$C$97:$C$100,MATCH('Service Paid by Medicaid'!$A42,'Crosswalk '!$K$97:$K$100,0))))</f>
        <v/>
      </c>
      <c r="F42" s="124" t="str">
        <f>IF(ISBLANK(A42),"",INDEX('Crosswalk '!$E$97:$E$100,MATCH('Service Paid by Medicaid'!$A42,'Crosswalk '!$K$97:$K$100,0)))</f>
        <v/>
      </c>
      <c r="G42" s="51"/>
    </row>
    <row r="43" spans="1:7" x14ac:dyDescent="0.2">
      <c r="A43" s="609"/>
      <c r="B43" s="132" t="str">
        <f>IF(ISBLANK(A43),"",(INDEX('Crosswalk '!$D$97:$D$100,MATCH('Service Paid by Medicaid'!$A43,'Crosswalk '!$K$97:$K$100,0))))</f>
        <v/>
      </c>
      <c r="C43" s="132" t="str">
        <f>IF(ISBLANK(A43),"",INDEX('Crosswalk '!$G$97:$G$100,MATCH('Service Paid by Medicaid'!$A43,'Crosswalk '!$K$97:$K$100,0)))</f>
        <v/>
      </c>
      <c r="D43" s="612" t="str">
        <f>IF(ISBLANK(A43),"",INDEX('Crosswalk '!$B$97:$B$100,MATCH('Service Paid by Medicaid'!$A43,'Crosswalk '!$K$97:$K$100,0)))</f>
        <v/>
      </c>
      <c r="E43" s="129" t="str">
        <f>IF(ISBLANK(A43),"",(INDEX('Crosswalk '!$C$97:$C$100,MATCH('Service Paid by Medicaid'!$A43,'Crosswalk '!$K$97:$K$100,0))))</f>
        <v/>
      </c>
      <c r="F43" s="124" t="str">
        <f>IF(ISBLANK(A43),"",INDEX('Crosswalk '!$E$97:$E$100,MATCH('Service Paid by Medicaid'!$A43,'Crosswalk '!$K$97:$K$100,0)))</f>
        <v/>
      </c>
      <c r="G43" s="51"/>
    </row>
    <row r="44" spans="1:7" x14ac:dyDescent="0.2">
      <c r="A44" s="609"/>
      <c r="B44" s="132" t="str">
        <f>IF(ISBLANK(A44),"",(INDEX('Crosswalk '!$D$97:$D$100,MATCH('Service Paid by Medicaid'!$A44,'Crosswalk '!$K$97:$K$100,0))))</f>
        <v/>
      </c>
      <c r="C44" s="132" t="str">
        <f>IF(ISBLANK(A44),"",INDEX('Crosswalk '!$G$97:$G$100,MATCH('Service Paid by Medicaid'!$A44,'Crosswalk '!$K$97:$K$100,0)))</f>
        <v/>
      </c>
      <c r="D44" s="612" t="str">
        <f>IF(ISBLANK(A44),"",INDEX('Crosswalk '!$B$97:$B$100,MATCH('Service Paid by Medicaid'!$A44,'Crosswalk '!$K$97:$K$100,0)))</f>
        <v/>
      </c>
      <c r="E44" s="129" t="str">
        <f>IF(ISBLANK(A44),"",(INDEX('Crosswalk '!$C$97:$C$100,MATCH('Service Paid by Medicaid'!$A44,'Crosswalk '!$K$97:$K$100,0))))</f>
        <v/>
      </c>
      <c r="F44" s="124" t="str">
        <f>IF(ISBLANK(A44),"",INDEX('Crosswalk '!$E$97:$E$100,MATCH('Service Paid by Medicaid'!$A44,'Crosswalk '!$K$97:$K$100,0)))</f>
        <v/>
      </c>
      <c r="G44" s="51"/>
    </row>
    <row r="45" spans="1:7" x14ac:dyDescent="0.2">
      <c r="A45" s="609"/>
      <c r="B45" s="132" t="str">
        <f>IF(ISBLANK(A45),"",(INDEX('Crosswalk '!$D$97:$D$100,MATCH('Service Paid by Medicaid'!$A45,'Crosswalk '!$K$97:$K$100,0))))</f>
        <v/>
      </c>
      <c r="C45" s="132" t="str">
        <f>IF(ISBLANK(A45),"",INDEX('Crosswalk '!$G$97:$G$100,MATCH('Service Paid by Medicaid'!$A45,'Crosswalk '!$K$97:$K$100,0)))</f>
        <v/>
      </c>
      <c r="D45" s="612" t="str">
        <f>IF(ISBLANK(A45),"",INDEX('Crosswalk '!$B$97:$B$100,MATCH('Service Paid by Medicaid'!$A45,'Crosswalk '!$K$97:$K$100,0)))</f>
        <v/>
      </c>
      <c r="E45" s="129" t="str">
        <f>IF(ISBLANK(A45),"",(INDEX('Crosswalk '!$C$97:$C$100,MATCH('Service Paid by Medicaid'!$A45,'Crosswalk '!$K$97:$K$100,0))))</f>
        <v/>
      </c>
      <c r="F45" s="124" t="str">
        <f>IF(ISBLANK(A45),"",INDEX('Crosswalk '!$E$97:$E$100,MATCH('Service Paid by Medicaid'!$A45,'Crosswalk '!$K$97:$K$100,0)))</f>
        <v/>
      </c>
      <c r="G45" s="51"/>
    </row>
  </sheetData>
  <sheetProtection algorithmName="SHA-512" hashValue="JPDxuJsGBEUA/VfvUvCNIj4y+FZ6tZ+0Mr43UBMRQ1SZ6AepWy/bB00R5JtYQOzZ3WegQnY2E4chigHFc0ufOw==" saltValue="vgI0sZE9tJt84ygivKYKiQ==" spinCount="100000" sheet="1" objects="1" scenarios="1"/>
  <mergeCells count="2">
    <mergeCell ref="A1:G1"/>
    <mergeCell ref="A2:G2"/>
  </mergeCells>
  <pageMargins left="0.7" right="0.7" top="0.75" bottom="0.75" header="0.3" footer="0.3"/>
  <pageSetup scale="47"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0000000}">
          <x14:formula1>
            <xm:f>'Crosswalk '!$K$9:$K$94</xm:f>
          </x14:formula1>
          <xm:sqref>A15:A39</xm:sqref>
        </x14:dataValidation>
        <x14:dataValidation type="list" allowBlank="1" showInputMessage="1" showErrorMessage="1" xr:uid="{00000000-0002-0000-0700-000001000000}">
          <x14:formula1>
            <xm:f>'Crosswalk '!$K$97:$K$103</xm:f>
          </x14:formula1>
          <xm:sqref>A42:A45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10</vt:i4>
      </vt:variant>
    </vt:vector>
  </HeadingPairs>
  <TitlesOfParts>
    <vt:vector size="18" baseType="lpstr">
      <vt:lpstr>General Information</vt:lpstr>
      <vt:lpstr>Crosswalk </vt:lpstr>
      <vt:lpstr>Direct Prof Sal &amp; Fringes  </vt:lpstr>
      <vt:lpstr> Indirect Non-prof Sal &amp; Fringe</vt:lpstr>
      <vt:lpstr>Direct and Indirect Expenses</vt:lpstr>
      <vt:lpstr>Financial Summary &amp; Stats</vt:lpstr>
      <vt:lpstr>Settlement Calculation</vt:lpstr>
      <vt:lpstr>Service Paid by Medicaid</vt:lpstr>
      <vt:lpstr>' Indirect Non-prof Sal &amp; Fringe'!Print_Area</vt:lpstr>
      <vt:lpstr>'Crosswalk '!Print_Area</vt:lpstr>
      <vt:lpstr>'Direct Prof Sal &amp; Fringes  '!Print_Area</vt:lpstr>
      <vt:lpstr>'Financial Summary &amp; Stats'!Print_Area</vt:lpstr>
      <vt:lpstr>'General Information'!Print_Area</vt:lpstr>
      <vt:lpstr>'Settlement Calculation'!Print_Area</vt:lpstr>
      <vt:lpstr>'Crosswalk '!Print_Titles</vt:lpstr>
      <vt:lpstr>'Direct Prof Sal &amp; Fringes  '!Print_Titles</vt:lpstr>
      <vt:lpstr>'Financial Summary &amp; Stats'!Print_Titles</vt:lpstr>
      <vt:lpstr>'Settlement Calculation'!Print_Titles</vt:lpstr>
    </vt:vector>
  </TitlesOfParts>
  <Company>SC Dept. of Health and Human Service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WARDLAW</dc:creator>
  <cp:lastModifiedBy>Chari Preacher</cp:lastModifiedBy>
  <cp:lastPrinted>2018-10-03T19:58:21Z</cp:lastPrinted>
  <dcterms:created xsi:type="dcterms:W3CDTF">2010-01-28T21:19:20Z</dcterms:created>
  <dcterms:modified xsi:type="dcterms:W3CDTF">2019-11-14T19:39:28Z</dcterms:modified>
</cp:coreProperties>
</file>