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496" windowHeight="10812" activeTab="1"/>
  </bookViews>
  <sheets>
    <sheet name="alpha" sheetId="4" r:id="rId1"/>
    <sheet name="numeric" sheetId="1" r:id="rId2"/>
  </sheets>
  <definedNames>
    <definedName name="_xlnm.Print_Titles" localSheetId="0">alpha!$1:$1</definedName>
    <definedName name="_xlnm.Print_Titles" localSheetId="1">numeric!$1:$1</definedName>
  </definedNames>
  <calcPr calcId="145621"/>
</workbook>
</file>

<file path=xl/calcChain.xml><?xml version="1.0" encoding="utf-8"?>
<calcChain xmlns="http://schemas.openxmlformats.org/spreadsheetml/2006/main">
  <c r="G945" i="4" l="1"/>
  <c r="F945" i="4"/>
  <c r="G250" i="4"/>
  <c r="F250" i="4"/>
  <c r="G1066" i="4"/>
  <c r="F1066" i="4"/>
  <c r="G1219" i="4"/>
  <c r="F1219" i="4"/>
  <c r="G1287" i="4"/>
  <c r="F1287" i="4"/>
  <c r="G240" i="4"/>
  <c r="F240" i="4"/>
  <c r="G189" i="4"/>
  <c r="F189" i="4"/>
  <c r="G195" i="4"/>
  <c r="F195" i="4"/>
  <c r="G246" i="4"/>
  <c r="F246" i="4"/>
  <c r="G212" i="4"/>
  <c r="F212" i="4"/>
  <c r="C212" i="4"/>
  <c r="G219" i="4"/>
  <c r="F219" i="4"/>
  <c r="G225" i="4"/>
  <c r="F225" i="4"/>
  <c r="G866" i="4"/>
  <c r="F866" i="4"/>
  <c r="G227" i="4"/>
  <c r="F227" i="4"/>
  <c r="G254" i="4"/>
  <c r="F254" i="4"/>
  <c r="G251" i="4"/>
  <c r="F251" i="4"/>
  <c r="C251" i="4"/>
  <c r="G276" i="4"/>
  <c r="F276" i="4"/>
  <c r="G218" i="4"/>
  <c r="F218" i="4"/>
  <c r="C218" i="4"/>
  <c r="G224" i="4"/>
  <c r="F224" i="4"/>
  <c r="C224" i="4"/>
  <c r="G194" i="4"/>
  <c r="F194" i="4"/>
  <c r="G238" i="4"/>
  <c r="F238" i="4"/>
  <c r="G201" i="4"/>
  <c r="F201" i="4"/>
  <c r="G1327" i="4"/>
  <c r="F1327" i="4"/>
  <c r="G255" i="4"/>
  <c r="F255" i="4"/>
  <c r="G256" i="4"/>
  <c r="F256" i="4"/>
  <c r="G252" i="4"/>
  <c r="F252" i="4"/>
  <c r="G223" i="4"/>
  <c r="F223" i="4"/>
  <c r="G196" i="4"/>
  <c r="F196" i="4"/>
  <c r="C196" i="4"/>
  <c r="G213" i="4"/>
  <c r="F213" i="4"/>
  <c r="G370" i="4"/>
  <c r="F370" i="4"/>
  <c r="C370" i="4"/>
  <c r="G651" i="4"/>
  <c r="F651" i="4"/>
  <c r="G204" i="4"/>
  <c r="F204" i="4"/>
  <c r="C204" i="4"/>
  <c r="G210" i="4"/>
  <c r="F210" i="4"/>
  <c r="G1326" i="4"/>
  <c r="F1326" i="4"/>
  <c r="G827" i="4"/>
  <c r="F827" i="4"/>
  <c r="G200" i="4"/>
  <c r="F200" i="4"/>
  <c r="C200" i="4"/>
  <c r="G203" i="4"/>
  <c r="F203" i="4"/>
  <c r="G207" i="4"/>
  <c r="F207" i="4"/>
  <c r="C207" i="4"/>
  <c r="G228" i="4"/>
  <c r="F228" i="4"/>
  <c r="G125" i="4"/>
  <c r="F125" i="4"/>
  <c r="G197" i="4"/>
  <c r="F197" i="4"/>
  <c r="G679" i="4"/>
  <c r="F679" i="4"/>
  <c r="G220" i="4"/>
  <c r="F220" i="4"/>
  <c r="C220" i="4"/>
  <c r="G253" i="4"/>
  <c r="F253" i="4"/>
  <c r="G230" i="4"/>
  <c r="F230" i="4"/>
  <c r="C230" i="4"/>
  <c r="G241" i="4"/>
  <c r="F241" i="4"/>
  <c r="G211" i="4"/>
  <c r="F211" i="4"/>
  <c r="G114" i="4"/>
  <c r="F114" i="4"/>
  <c r="G113" i="4"/>
  <c r="F113" i="4"/>
  <c r="G112" i="4"/>
  <c r="F112" i="4"/>
  <c r="G307" i="4"/>
  <c r="F307" i="4"/>
  <c r="G242" i="4"/>
  <c r="F242" i="4"/>
  <c r="G257" i="4"/>
  <c r="F257" i="4"/>
  <c r="G202" i="4"/>
  <c r="F202" i="4"/>
  <c r="C202" i="4"/>
  <c r="G248" i="4"/>
  <c r="F248" i="4"/>
  <c r="G247" i="4"/>
  <c r="F247" i="4"/>
  <c r="G215" i="4"/>
  <c r="F215" i="4"/>
  <c r="G214" i="4"/>
  <c r="F214" i="4"/>
  <c r="G823" i="4"/>
  <c r="F823" i="4"/>
  <c r="C823" i="4"/>
  <c r="G209" i="4"/>
  <c r="F209" i="4"/>
  <c r="G208" i="4"/>
  <c r="F208" i="4"/>
  <c r="C208" i="4"/>
  <c r="G222" i="4"/>
  <c r="F222" i="4"/>
  <c r="C222" i="4"/>
  <c r="G221" i="4"/>
  <c r="F221" i="4"/>
  <c r="C221" i="4"/>
  <c r="G232" i="4"/>
  <c r="F232" i="4"/>
  <c r="G231" i="4"/>
  <c r="F231" i="4"/>
  <c r="G237" i="4"/>
  <c r="F237" i="4"/>
  <c r="G236" i="4"/>
  <c r="F236" i="4"/>
  <c r="G156" i="4"/>
  <c r="F156" i="4"/>
  <c r="G249" i="4"/>
  <c r="F249" i="4"/>
  <c r="G198" i="4"/>
  <c r="F198" i="4"/>
  <c r="G1065" i="4"/>
  <c r="F1065" i="4"/>
  <c r="G1064" i="4"/>
  <c r="F1064" i="4"/>
  <c r="G1067" i="4"/>
  <c r="F1067" i="4"/>
  <c r="G981" i="4"/>
  <c r="F981" i="4"/>
  <c r="G206" i="4"/>
  <c r="F206" i="4"/>
  <c r="G229" i="4"/>
  <c r="F229" i="4"/>
  <c r="G226" i="4"/>
  <c r="F226" i="4"/>
  <c r="G465" i="4"/>
  <c r="F465" i="4"/>
  <c r="G233" i="4"/>
  <c r="F233" i="4"/>
  <c r="G217" i="4"/>
  <c r="F217" i="4"/>
  <c r="G216" i="4"/>
  <c r="F216" i="4"/>
  <c r="G155" i="4"/>
  <c r="F155" i="4"/>
  <c r="H199" i="4"/>
  <c r="G199" i="4"/>
  <c r="F199" i="4"/>
  <c r="G245" i="4"/>
  <c r="F245" i="4"/>
  <c r="G244" i="4"/>
  <c r="F244" i="4"/>
  <c r="G205" i="4"/>
  <c r="F205" i="4"/>
  <c r="G318" i="4"/>
  <c r="F318" i="4"/>
  <c r="C318" i="4"/>
  <c r="G1211" i="4"/>
  <c r="F1211" i="4"/>
  <c r="C1211" i="4"/>
  <c r="G102" i="4"/>
  <c r="F102" i="4"/>
  <c r="G1254" i="4"/>
  <c r="F1254" i="4"/>
  <c r="C1254" i="4"/>
  <c r="G1108" i="4"/>
  <c r="F1108" i="4"/>
  <c r="G295" i="4"/>
  <c r="F295" i="4"/>
  <c r="C295" i="4"/>
  <c r="G101" i="4"/>
  <c r="F101" i="4"/>
  <c r="G1343" i="4"/>
  <c r="F1343" i="4"/>
  <c r="G423" i="4"/>
  <c r="F423" i="4"/>
  <c r="G745" i="4"/>
  <c r="F745" i="4"/>
  <c r="G1210" i="4"/>
  <c r="F1210" i="4"/>
  <c r="G243" i="4"/>
  <c r="F243" i="4"/>
  <c r="G319" i="4"/>
  <c r="F319" i="4"/>
  <c r="C319" i="4"/>
  <c r="G117" i="4"/>
  <c r="F117" i="4"/>
  <c r="G466" i="4"/>
  <c r="F466" i="4"/>
  <c r="G1293" i="4"/>
  <c r="F1293" i="4"/>
  <c r="G1099" i="4"/>
  <c r="F1099" i="4"/>
  <c r="G97" i="4"/>
  <c r="F97" i="4"/>
  <c r="G103" i="4"/>
  <c r="F103" i="4"/>
  <c r="G267" i="4"/>
  <c r="F267" i="4"/>
  <c r="G337" i="4"/>
  <c r="F337" i="4"/>
  <c r="G344" i="4"/>
  <c r="F344" i="4"/>
  <c r="G1212" i="4"/>
  <c r="F1212" i="4"/>
  <c r="C1212" i="4"/>
  <c r="G538" i="4"/>
  <c r="F538" i="4"/>
  <c r="G1126" i="4"/>
  <c r="F1126" i="4"/>
  <c r="G1324" i="4"/>
  <c r="F1324" i="4"/>
  <c r="G100" i="4"/>
  <c r="F100" i="4"/>
  <c r="G65" i="4"/>
  <c r="F65" i="4"/>
  <c r="G1217" i="4"/>
  <c r="F1217" i="4"/>
  <c r="G580" i="4"/>
  <c r="F580" i="4"/>
  <c r="G652" i="4"/>
  <c r="F652" i="4"/>
  <c r="C652" i="4"/>
  <c r="G681" i="4"/>
  <c r="F681" i="4"/>
  <c r="G1137" i="4"/>
  <c r="F1137" i="4"/>
  <c r="G281" i="4"/>
  <c r="F281" i="4"/>
  <c r="G258" i="4"/>
  <c r="F258" i="4"/>
  <c r="G853" i="4"/>
  <c r="F853" i="4"/>
  <c r="C853" i="4"/>
  <c r="G919" i="4"/>
  <c r="F919" i="4"/>
  <c r="C919" i="4"/>
  <c r="G78" i="4"/>
  <c r="F78" i="4"/>
  <c r="G1334" i="4"/>
  <c r="F1334" i="4"/>
  <c r="C1334" i="4"/>
  <c r="G660" i="4"/>
  <c r="F660" i="4"/>
  <c r="G1296" i="4"/>
  <c r="F1296" i="4"/>
  <c r="G21" i="4"/>
  <c r="F21" i="4"/>
  <c r="G829" i="4"/>
  <c r="F829" i="4"/>
  <c r="G757" i="4"/>
  <c r="F757" i="4"/>
  <c r="G1276" i="4"/>
  <c r="F1276" i="4"/>
  <c r="G1244" i="4"/>
  <c r="F1244" i="4"/>
  <c r="C1244" i="4"/>
  <c r="G1059" i="4"/>
  <c r="F1059" i="4"/>
  <c r="G1100" i="4"/>
  <c r="F1100" i="4"/>
  <c r="G954" i="4"/>
  <c r="F954" i="4"/>
  <c r="G463" i="4"/>
  <c r="F463" i="4"/>
  <c r="G863" i="4"/>
  <c r="F863" i="4"/>
  <c r="G98" i="4"/>
  <c r="F98" i="4"/>
  <c r="C98" i="4"/>
  <c r="G1131" i="4"/>
  <c r="F1131" i="4"/>
  <c r="G289" i="4"/>
  <c r="F289" i="4"/>
  <c r="G492" i="4"/>
  <c r="F492" i="4"/>
  <c r="G634" i="4"/>
  <c r="F634" i="4"/>
  <c r="G367" i="4"/>
  <c r="F367" i="4"/>
  <c r="G1323" i="4"/>
  <c r="F1323" i="4"/>
  <c r="G25" i="4"/>
  <c r="F25" i="4"/>
  <c r="G1104" i="4"/>
  <c r="F1104" i="4"/>
  <c r="G832" i="4"/>
  <c r="F832" i="4"/>
  <c r="C832" i="4"/>
  <c r="G121" i="4"/>
  <c r="F121" i="4"/>
  <c r="G1101" i="4"/>
  <c r="F1101" i="4"/>
  <c r="G18" i="4"/>
  <c r="F18" i="4"/>
  <c r="G1119" i="4"/>
  <c r="F1119" i="4"/>
  <c r="G723" i="4"/>
  <c r="F723" i="4"/>
  <c r="C723" i="4"/>
  <c r="G188" i="4"/>
  <c r="F188" i="4"/>
  <c r="G1143" i="4"/>
  <c r="F1143" i="4"/>
  <c r="G1299" i="4"/>
  <c r="F1299" i="4"/>
  <c r="G753" i="4"/>
  <c r="F753" i="4"/>
  <c r="G961" i="4"/>
  <c r="F961" i="4"/>
  <c r="G688" i="4"/>
  <c r="F688" i="4"/>
  <c r="G704" i="4"/>
  <c r="F704" i="4"/>
  <c r="C704" i="4"/>
  <c r="G477" i="4"/>
  <c r="F477" i="4"/>
  <c r="F300" i="4"/>
  <c r="E300" i="4"/>
  <c r="D300" i="4"/>
  <c r="C300" i="4"/>
  <c r="G877" i="4"/>
  <c r="F877" i="4"/>
  <c r="C877" i="4"/>
  <c r="G815" i="4"/>
  <c r="F815" i="4"/>
  <c r="G542" i="4"/>
  <c r="F542" i="4"/>
  <c r="C542" i="4"/>
  <c r="G839" i="4"/>
  <c r="F839" i="4"/>
  <c r="C839" i="4"/>
  <c r="G852" i="4"/>
  <c r="F852" i="4"/>
  <c r="C852" i="4"/>
  <c r="G488" i="4"/>
  <c r="F488" i="4"/>
  <c r="G487" i="4"/>
  <c r="F487" i="4"/>
  <c r="G1184" i="4"/>
  <c r="F1184" i="4"/>
  <c r="G72" i="4"/>
  <c r="F72" i="4"/>
  <c r="C72" i="4"/>
  <c r="G71" i="4"/>
  <c r="F71" i="4"/>
  <c r="C71" i="4"/>
  <c r="G917" i="4"/>
  <c r="F917" i="4"/>
  <c r="G22" i="4"/>
  <c r="F22" i="4"/>
  <c r="G1127" i="4"/>
  <c r="F1127" i="4"/>
  <c r="G899" i="4"/>
  <c r="F899" i="4"/>
  <c r="G775" i="4"/>
  <c r="F775" i="4"/>
  <c r="G313" i="4"/>
  <c r="F313" i="4"/>
  <c r="C313" i="4"/>
  <c r="G534" i="4"/>
  <c r="F534" i="4"/>
  <c r="G92" i="4"/>
  <c r="F92" i="4"/>
  <c r="G1283" i="4"/>
  <c r="F1283" i="4"/>
  <c r="C1283" i="4"/>
  <c r="G462" i="4"/>
  <c r="F462" i="4"/>
  <c r="G163" i="4"/>
  <c r="F163" i="4"/>
  <c r="G733" i="4"/>
  <c r="F733" i="4"/>
  <c r="G298" i="4"/>
  <c r="F298" i="4"/>
  <c r="C298" i="4"/>
  <c r="G1112" i="4"/>
  <c r="F1112" i="4"/>
  <c r="G523" i="4"/>
  <c r="F523" i="4"/>
  <c r="G888" i="4"/>
  <c r="F888" i="4"/>
  <c r="G887" i="4"/>
  <c r="F887" i="4"/>
  <c r="G1252" i="4"/>
  <c r="F1252" i="4"/>
  <c r="C1252" i="4"/>
  <c r="G20" i="4"/>
  <c r="F20" i="4"/>
  <c r="C20" i="4"/>
  <c r="G728" i="4"/>
  <c r="F728" i="4"/>
  <c r="C728" i="4"/>
  <c r="G430" i="4"/>
  <c r="F430" i="4"/>
  <c r="G303" i="4"/>
  <c r="F303" i="4"/>
  <c r="G191" i="4"/>
  <c r="F191" i="4"/>
  <c r="G158" i="4"/>
  <c r="F158" i="4"/>
  <c r="G157" i="4"/>
  <c r="F157" i="4"/>
  <c r="G685" i="4"/>
  <c r="F685" i="4"/>
  <c r="G684" i="4"/>
  <c r="F684" i="4"/>
  <c r="G668" i="4"/>
  <c r="F668" i="4"/>
  <c r="G1352" i="4"/>
  <c r="F1352" i="4"/>
  <c r="C1352" i="4"/>
  <c r="G375" i="4"/>
  <c r="F375" i="4"/>
  <c r="C375" i="4"/>
  <c r="G1012" i="4"/>
  <c r="F1012" i="4"/>
  <c r="C1012" i="4"/>
  <c r="F702" i="4"/>
  <c r="G1220" i="4"/>
  <c r="F1220" i="4"/>
  <c r="C1220" i="4"/>
  <c r="G1354" i="4"/>
  <c r="F1354" i="4"/>
  <c r="G1192" i="4"/>
  <c r="F1192" i="4"/>
  <c r="G980" i="4"/>
  <c r="F980" i="4"/>
  <c r="G979" i="4"/>
  <c r="F979" i="4"/>
  <c r="G1139" i="4"/>
  <c r="F1139" i="4"/>
  <c r="G736" i="4"/>
  <c r="F736" i="4"/>
  <c r="G735" i="4"/>
  <c r="F735" i="4"/>
  <c r="G810" i="4"/>
  <c r="F810" i="4"/>
  <c r="G1189" i="4"/>
  <c r="F1189" i="4"/>
  <c r="G1086" i="4"/>
  <c r="F1086" i="4"/>
  <c r="G467" i="4"/>
  <c r="F467" i="4"/>
  <c r="G1159" i="4"/>
  <c r="F1159" i="4"/>
  <c r="C1159" i="4"/>
  <c r="G693" i="4"/>
  <c r="F693" i="4"/>
  <c r="G692" i="4"/>
  <c r="F692" i="4"/>
  <c r="G144" i="4"/>
  <c r="F144" i="4"/>
  <c r="G390" i="4"/>
  <c r="F390" i="4"/>
  <c r="G1160" i="4"/>
  <c r="F1160" i="4"/>
  <c r="G936" i="4"/>
  <c r="F936" i="4"/>
  <c r="G926" i="4"/>
  <c r="F926" i="4"/>
  <c r="G878" i="4"/>
  <c r="F878" i="4"/>
  <c r="C878" i="4"/>
  <c r="G666" i="4"/>
  <c r="F666" i="4"/>
  <c r="G1196" i="4"/>
  <c r="F1196" i="4"/>
  <c r="G1331" i="4"/>
  <c r="F1331" i="4"/>
  <c r="G1322" i="4"/>
  <c r="F1322" i="4"/>
  <c r="G388" i="4"/>
  <c r="F388" i="4"/>
  <c r="G740" i="4"/>
  <c r="F740" i="4"/>
  <c r="G1227" i="4"/>
  <c r="F1227" i="4"/>
  <c r="G174" i="4"/>
  <c r="F174" i="4"/>
  <c r="G1106" i="4"/>
  <c r="F1106" i="4"/>
  <c r="G1105" i="4"/>
  <c r="F1105" i="4"/>
  <c r="G701" i="4"/>
  <c r="F701" i="4"/>
  <c r="G819" i="4"/>
  <c r="F819" i="4"/>
  <c r="C819" i="4"/>
  <c r="G483" i="4"/>
  <c r="F483" i="4"/>
  <c r="C483" i="4"/>
  <c r="G265" i="4"/>
  <c r="F265" i="4"/>
  <c r="C265" i="4"/>
  <c r="G1094" i="4"/>
  <c r="F1094" i="4"/>
  <c r="G1190" i="4"/>
  <c r="F1190" i="4"/>
  <c r="G491" i="4"/>
  <c r="F491" i="4"/>
  <c r="G884" i="4"/>
  <c r="F884" i="4"/>
  <c r="C884" i="4"/>
  <c r="G383" i="4"/>
  <c r="F383" i="4"/>
  <c r="G17" i="4"/>
  <c r="F17" i="4"/>
  <c r="G356" i="4"/>
  <c r="F356" i="4"/>
  <c r="G309" i="4"/>
  <c r="F309" i="4"/>
  <c r="C309" i="4"/>
  <c r="G183" i="4"/>
  <c r="F183" i="4"/>
  <c r="C183" i="4"/>
  <c r="G172" i="4"/>
  <c r="F172" i="4"/>
  <c r="G171" i="4"/>
  <c r="F171" i="4"/>
  <c r="G1357" i="4"/>
  <c r="F1357" i="4"/>
  <c r="G621" i="4"/>
  <c r="F621" i="4"/>
  <c r="G820" i="4"/>
  <c r="F820" i="4"/>
  <c r="C820" i="4"/>
  <c r="G53" i="4"/>
  <c r="F53" i="4"/>
  <c r="G854" i="4"/>
  <c r="F854" i="4"/>
  <c r="G1182" i="4"/>
  <c r="F1182" i="4"/>
  <c r="G862" i="4"/>
  <c r="F862" i="4"/>
  <c r="C862" i="4"/>
  <c r="G1215" i="4"/>
  <c r="F1215" i="4"/>
  <c r="G529" i="4"/>
  <c r="F529" i="4"/>
  <c r="C529" i="4"/>
  <c r="G1193" i="4"/>
  <c r="F1193" i="4"/>
  <c r="G570" i="4"/>
  <c r="F570" i="4"/>
  <c r="G84" i="4"/>
  <c r="F84" i="4"/>
  <c r="G922" i="4"/>
  <c r="F922" i="4"/>
  <c r="G976" i="4"/>
  <c r="F976" i="4"/>
  <c r="G598" i="4"/>
  <c r="F598" i="4"/>
  <c r="G1195" i="4"/>
  <c r="F1195" i="4"/>
  <c r="G1336" i="4"/>
  <c r="F1336" i="4"/>
  <c r="G283" i="4"/>
  <c r="F283" i="4"/>
  <c r="G329" i="4"/>
  <c r="F329" i="4"/>
  <c r="C329" i="4"/>
  <c r="G1085" i="4"/>
  <c r="F1085" i="4"/>
  <c r="G1335" i="4"/>
  <c r="F1335" i="4"/>
  <c r="G553" i="4"/>
  <c r="F553" i="4"/>
  <c r="G600" i="4"/>
  <c r="F600" i="4"/>
  <c r="G1034" i="4"/>
  <c r="F1034" i="4"/>
  <c r="G1230" i="4"/>
  <c r="F1230" i="4"/>
  <c r="F604" i="4"/>
  <c r="C604" i="4"/>
  <c r="G1171" i="4"/>
  <c r="F1171" i="4"/>
  <c r="G143" i="4"/>
  <c r="F143" i="4"/>
  <c r="C143" i="4"/>
  <c r="G656" i="4"/>
  <c r="F656" i="4"/>
  <c r="G694" i="4"/>
  <c r="F694" i="4"/>
  <c r="G532" i="4"/>
  <c r="F532" i="4"/>
  <c r="G126" i="4"/>
  <c r="F126" i="4"/>
  <c r="C126" i="4"/>
  <c r="G1278" i="4"/>
  <c r="F1278" i="4"/>
  <c r="G705" i="4"/>
  <c r="F705" i="4"/>
  <c r="C705" i="4"/>
  <c r="G610" i="4"/>
  <c r="F610" i="4"/>
  <c r="G1163" i="4"/>
  <c r="F1163" i="4"/>
  <c r="G1144" i="4"/>
  <c r="F1144" i="4"/>
  <c r="C1144" i="4"/>
  <c r="G697" i="4"/>
  <c r="F697" i="4"/>
  <c r="G320" i="4"/>
  <c r="F320" i="4"/>
  <c r="G427" i="4"/>
  <c r="F427" i="4"/>
  <c r="G77" i="4"/>
  <c r="F77" i="4"/>
  <c r="G1298" i="4"/>
  <c r="F1298" i="4"/>
  <c r="G907" i="4"/>
  <c r="F907" i="4"/>
  <c r="G746" i="4"/>
  <c r="F746" i="4"/>
  <c r="G373" i="4"/>
  <c r="F373" i="4"/>
  <c r="G1281" i="4"/>
  <c r="F1281" i="4"/>
  <c r="G458" i="4"/>
  <c r="F458" i="4"/>
  <c r="G759" i="4"/>
  <c r="F759" i="4"/>
  <c r="G57" i="4"/>
  <c r="F57" i="4"/>
  <c r="C57" i="4"/>
  <c r="G1170" i="4"/>
  <c r="F1170" i="4"/>
  <c r="C1170" i="4"/>
  <c r="G754" i="4"/>
  <c r="F754" i="4"/>
  <c r="C754" i="4"/>
  <c r="G146" i="4"/>
  <c r="F146" i="4"/>
  <c r="G1146" i="4"/>
  <c r="F1146" i="4"/>
  <c r="G837" i="4"/>
  <c r="F837" i="4"/>
  <c r="C837" i="4"/>
  <c r="G1302" i="4"/>
  <c r="F1302" i="4"/>
  <c r="C1302" i="4"/>
  <c r="G921" i="4"/>
  <c r="F921" i="4"/>
  <c r="G893" i="4"/>
  <c r="F893" i="4"/>
  <c r="C893" i="4"/>
  <c r="G1149" i="4"/>
  <c r="F1149" i="4"/>
  <c r="G683" i="4"/>
  <c r="F683" i="4"/>
  <c r="G841" i="4"/>
  <c r="F841" i="4"/>
  <c r="G496" i="4"/>
  <c r="F496" i="4"/>
  <c r="G1107" i="4"/>
  <c r="F1107" i="4"/>
  <c r="G990" i="4"/>
  <c r="F990" i="4"/>
  <c r="C990" i="4"/>
  <c r="G1214" i="4"/>
  <c r="F1214" i="4"/>
  <c r="G140" i="4"/>
  <c r="F140" i="4"/>
  <c r="G62" i="4"/>
  <c r="F62" i="4"/>
  <c r="G61" i="4"/>
  <c r="F61" i="4"/>
  <c r="G29" i="4"/>
  <c r="F29" i="4"/>
  <c r="G1239" i="4"/>
  <c r="F1239" i="4"/>
  <c r="G1315" i="4"/>
  <c r="F1315" i="4"/>
  <c r="G1213" i="4"/>
  <c r="F1213" i="4"/>
  <c r="G826" i="4"/>
  <c r="F826" i="4"/>
  <c r="C826" i="4"/>
  <c r="G807" i="4"/>
  <c r="F807" i="4"/>
  <c r="G165" i="4"/>
  <c r="F165" i="4"/>
  <c r="G164" i="4"/>
  <c r="F164" i="4"/>
  <c r="G366" i="4"/>
  <c r="F366" i="4"/>
  <c r="G1045" i="4"/>
  <c r="F1045" i="4"/>
  <c r="C1045" i="4"/>
  <c r="G138" i="4"/>
  <c r="F138" i="4"/>
  <c r="C138" i="4"/>
  <c r="G992" i="4"/>
  <c r="F992" i="4"/>
  <c r="C992" i="4"/>
  <c r="G800" i="4"/>
  <c r="F800" i="4"/>
  <c r="G563" i="4"/>
  <c r="F563" i="4"/>
  <c r="G1142" i="4"/>
  <c r="F1142" i="4"/>
  <c r="G966" i="4"/>
  <c r="F966" i="4"/>
  <c r="G1200" i="4"/>
  <c r="F1200" i="4"/>
  <c r="G613" i="4"/>
  <c r="F613" i="4"/>
  <c r="G676" i="4"/>
  <c r="F676" i="4"/>
  <c r="G603" i="4"/>
  <c r="F603" i="4"/>
  <c r="G464" i="4"/>
  <c r="F464" i="4"/>
  <c r="G769" i="4"/>
  <c r="F769" i="4"/>
  <c r="G1148" i="4"/>
  <c r="F1148" i="4"/>
  <c r="G1009" i="4"/>
  <c r="F1009" i="4"/>
  <c r="G526" i="4"/>
  <c r="F526" i="4"/>
  <c r="G1070" i="4"/>
  <c r="F1070" i="4"/>
  <c r="G777" i="4"/>
  <c r="F777" i="4"/>
  <c r="G1234" i="4"/>
  <c r="F1234" i="4"/>
  <c r="G970" i="4"/>
  <c r="F970" i="4"/>
  <c r="G654" i="4"/>
  <c r="F654" i="4"/>
  <c r="G6" i="4"/>
  <c r="F6" i="4"/>
  <c r="G5" i="4"/>
  <c r="F5" i="4"/>
  <c r="G1320" i="4"/>
  <c r="F1320" i="4"/>
  <c r="G727" i="4"/>
  <c r="F727" i="4"/>
  <c r="G304" i="4"/>
  <c r="F304" i="4"/>
  <c r="G1007" i="4"/>
  <c r="F1007" i="4"/>
  <c r="G426" i="4"/>
  <c r="F426" i="4"/>
  <c r="G109" i="4"/>
  <c r="F109" i="4"/>
  <c r="G781" i="4"/>
  <c r="F781" i="4"/>
  <c r="G1135" i="4"/>
  <c r="F1135" i="4"/>
  <c r="C1135" i="4"/>
  <c r="G527" i="4"/>
  <c r="F527" i="4"/>
  <c r="C527" i="4"/>
  <c r="G288" i="4"/>
  <c r="F288" i="4"/>
  <c r="G323" i="4"/>
  <c r="F323" i="4"/>
  <c r="G763" i="4"/>
  <c r="F763" i="4"/>
  <c r="G620" i="4"/>
  <c r="F620" i="4"/>
  <c r="G619" i="4"/>
  <c r="F619" i="4"/>
  <c r="G322" i="4"/>
  <c r="F322" i="4"/>
  <c r="G407" i="4"/>
  <c r="F407" i="4"/>
  <c r="G480" i="4"/>
  <c r="F480" i="4"/>
  <c r="C480" i="4"/>
  <c r="G590" i="4"/>
  <c r="F590" i="4"/>
  <c r="C590" i="4"/>
  <c r="G1073" i="4"/>
  <c r="F1073" i="4"/>
  <c r="G528" i="4"/>
  <c r="F528" i="4"/>
  <c r="G63" i="4"/>
  <c r="F63" i="4"/>
  <c r="G1052" i="4"/>
  <c r="F1052" i="4"/>
  <c r="G1173" i="4"/>
  <c r="F1173" i="4"/>
  <c r="C1173" i="4"/>
  <c r="G468" i="4"/>
  <c r="F468" i="4"/>
  <c r="C468" i="4"/>
  <c r="G1153" i="4"/>
  <c r="F1153" i="4"/>
  <c r="G1344" i="4"/>
  <c r="F1344" i="4"/>
  <c r="G1136" i="4"/>
  <c r="F1136" i="4"/>
  <c r="G170" i="4"/>
  <c r="F170" i="4"/>
  <c r="G1062" i="4"/>
  <c r="F1062" i="4"/>
  <c r="G595" i="4"/>
  <c r="F595" i="4"/>
  <c r="G579" i="4"/>
  <c r="F579" i="4"/>
  <c r="G1275" i="4"/>
  <c r="F1275" i="4"/>
  <c r="G181" i="4"/>
  <c r="F181" i="4"/>
  <c r="G1216" i="4"/>
  <c r="F1216" i="4"/>
  <c r="C1216" i="4"/>
  <c r="G629" i="4"/>
  <c r="F629" i="4"/>
  <c r="C629" i="4"/>
  <c r="G653" i="4"/>
  <c r="F653" i="4"/>
  <c r="G1130" i="4"/>
  <c r="F1130" i="4"/>
  <c r="G1218" i="4"/>
  <c r="F1218" i="4"/>
  <c r="C1218" i="4"/>
  <c r="G609" i="4"/>
  <c r="F609" i="4"/>
  <c r="G511" i="4"/>
  <c r="F511" i="4"/>
  <c r="G349" i="4"/>
  <c r="F349" i="4"/>
  <c r="C349" i="4"/>
  <c r="G147" i="4"/>
  <c r="F147" i="4"/>
  <c r="C147" i="4"/>
  <c r="G291" i="4"/>
  <c r="F291" i="4"/>
  <c r="G891" i="4"/>
  <c r="F891" i="4"/>
  <c r="C891" i="4"/>
  <c r="G730" i="4"/>
  <c r="F730" i="4"/>
  <c r="G658" i="4"/>
  <c r="F658" i="4"/>
  <c r="G640" i="4"/>
  <c r="F640" i="4"/>
  <c r="G1141" i="4"/>
  <c r="F1141" i="4"/>
  <c r="G424" i="4"/>
  <c r="F424" i="4"/>
  <c r="C424" i="4"/>
  <c r="G930" i="4"/>
  <c r="F930" i="4"/>
  <c r="G342" i="4"/>
  <c r="F342" i="4"/>
  <c r="G81" i="4"/>
  <c r="F81" i="4"/>
  <c r="G377" i="4"/>
  <c r="F377" i="4"/>
  <c r="G69" i="4"/>
  <c r="F69" i="4"/>
  <c r="C69" i="4"/>
  <c r="G1314" i="4"/>
  <c r="F1314" i="4"/>
  <c r="G24" i="4"/>
  <c r="F24" i="4"/>
  <c r="G314" i="4"/>
  <c r="F314" i="4"/>
  <c r="G773" i="4"/>
  <c r="F773" i="4"/>
  <c r="G905" i="4"/>
  <c r="F905" i="4"/>
  <c r="G355" i="4"/>
  <c r="F355" i="4"/>
  <c r="G499" i="4"/>
  <c r="F499" i="4"/>
  <c r="G124" i="4"/>
  <c r="F124" i="4"/>
  <c r="G1063" i="4"/>
  <c r="F1063" i="4"/>
  <c r="G1174" i="4"/>
  <c r="F1174" i="4"/>
  <c r="C1174" i="4"/>
  <c r="G1158" i="4"/>
  <c r="F1158" i="4"/>
  <c r="G698" i="4"/>
  <c r="F698" i="4"/>
  <c r="C698" i="4"/>
  <c r="G556" i="4"/>
  <c r="F556" i="4"/>
  <c r="C556" i="4"/>
  <c r="G1035" i="4"/>
  <c r="F1035" i="4"/>
  <c r="C1035" i="4"/>
  <c r="G1040" i="4"/>
  <c r="F1040" i="4"/>
  <c r="C1040" i="4"/>
  <c r="G347" i="4"/>
  <c r="F347" i="4"/>
  <c r="G1183" i="4"/>
  <c r="F1183" i="4"/>
  <c r="G376" i="4"/>
  <c r="F376" i="4"/>
  <c r="G1277" i="4"/>
  <c r="F1277" i="4"/>
  <c r="G1259" i="4"/>
  <c r="F1259" i="4"/>
  <c r="G506" i="4"/>
  <c r="F506" i="4"/>
  <c r="G494" i="4"/>
  <c r="F494" i="4"/>
  <c r="G1349" i="4"/>
  <c r="F1349" i="4"/>
  <c r="C1349" i="4"/>
  <c r="G43" i="4"/>
  <c r="F43" i="4"/>
  <c r="G780" i="4"/>
  <c r="F780" i="4"/>
  <c r="G1291" i="4"/>
  <c r="F1291" i="4"/>
  <c r="G1079" i="4"/>
  <c r="F1079" i="4"/>
  <c r="G1078" i="4"/>
  <c r="F1078" i="4"/>
  <c r="G845" i="4"/>
  <c r="F845" i="4"/>
  <c r="G1122" i="4"/>
  <c r="F1122" i="4"/>
  <c r="G630" i="4"/>
  <c r="F630" i="4"/>
  <c r="C630" i="4"/>
  <c r="G792" i="4"/>
  <c r="F792" i="4"/>
  <c r="G179" i="4"/>
  <c r="F179" i="4"/>
  <c r="C179" i="4"/>
  <c r="G1330" i="4"/>
  <c r="F1330" i="4"/>
  <c r="G1118" i="4"/>
  <c r="F1118" i="4"/>
  <c r="G1003" i="4"/>
  <c r="F1003" i="4"/>
  <c r="G973" i="4"/>
  <c r="F973" i="4"/>
  <c r="G1049" i="4"/>
  <c r="F1049" i="4"/>
  <c r="G1048" i="4"/>
  <c r="F1048" i="4"/>
  <c r="G713" i="4"/>
  <c r="F713" i="4"/>
  <c r="C713" i="4"/>
  <c r="G869" i="4"/>
  <c r="F869" i="4"/>
  <c r="G929" i="4"/>
  <c r="F929" i="4"/>
  <c r="C929" i="4"/>
  <c r="G497" i="4"/>
  <c r="F497" i="4"/>
  <c r="C497" i="4"/>
  <c r="G789" i="4"/>
  <c r="F789" i="4"/>
  <c r="G459" i="4"/>
  <c r="F459" i="4"/>
  <c r="C459" i="4"/>
  <c r="G657" i="4"/>
  <c r="F657" i="4"/>
  <c r="G865" i="4"/>
  <c r="F865" i="4"/>
  <c r="G1026" i="4"/>
  <c r="F1026" i="4"/>
  <c r="G107" i="4"/>
  <c r="F107" i="4"/>
  <c r="C107" i="4"/>
  <c r="G1084" i="4"/>
  <c r="F1084" i="4"/>
  <c r="C1084" i="4"/>
  <c r="G678" i="4"/>
  <c r="F678" i="4"/>
  <c r="G392" i="4"/>
  <c r="F392" i="4"/>
  <c r="G359" i="4"/>
  <c r="F359" i="4"/>
  <c r="C359" i="4"/>
  <c r="G88" i="4"/>
  <c r="F88" i="4"/>
  <c r="G386" i="4"/>
  <c r="F386" i="4"/>
  <c r="C386" i="4"/>
  <c r="G1166" i="4"/>
  <c r="F1166" i="4"/>
  <c r="G49" i="4"/>
  <c r="F49" i="4"/>
  <c r="C49" i="4"/>
  <c r="G1204" i="4"/>
  <c r="F1204" i="4"/>
  <c r="C1204" i="4"/>
  <c r="G715" i="4"/>
  <c r="F715" i="4"/>
  <c r="A715" i="4"/>
  <c r="G1030" i="4"/>
  <c r="F1030" i="4"/>
  <c r="C1030" i="4"/>
  <c r="A1030" i="4"/>
  <c r="G577" i="4"/>
  <c r="F577" i="4"/>
  <c r="C577" i="4"/>
  <c r="A577" i="4"/>
  <c r="G1015" i="4"/>
  <c r="F1015" i="4"/>
  <c r="A1015" i="4"/>
  <c r="G725" i="4"/>
  <c r="F725" i="4"/>
  <c r="A725" i="4"/>
  <c r="G406" i="4"/>
  <c r="F406" i="4"/>
  <c r="A406" i="4"/>
  <c r="G537" i="4"/>
  <c r="F537" i="4"/>
  <c r="A537" i="4"/>
  <c r="G818" i="4"/>
  <c r="F818" i="4"/>
  <c r="A818" i="4"/>
  <c r="G965" i="4"/>
  <c r="F965" i="4"/>
  <c r="A965" i="4"/>
  <c r="G1020" i="4"/>
  <c r="F1020" i="4"/>
  <c r="A1020" i="4"/>
  <c r="G1019" i="4"/>
  <c r="F1019" i="4"/>
  <c r="A1019" i="4"/>
  <c r="G795" i="4"/>
  <c r="F795" i="4"/>
  <c r="C795" i="4"/>
  <c r="A795" i="4"/>
  <c r="G641" i="4"/>
  <c r="F641" i="4"/>
  <c r="A641" i="4"/>
  <c r="G402" i="4"/>
  <c r="F402" i="4"/>
  <c r="C402" i="4"/>
  <c r="A402" i="4"/>
  <c r="G351" i="4"/>
  <c r="F351" i="4"/>
  <c r="A351" i="4"/>
  <c r="G312" i="4"/>
  <c r="F312" i="4"/>
  <c r="A312" i="4"/>
  <c r="G1338" i="4"/>
  <c r="F1338" i="4"/>
  <c r="A1338" i="4"/>
  <c r="G235" i="4"/>
  <c r="F235" i="4"/>
  <c r="C235" i="4"/>
  <c r="A235" i="4"/>
  <c r="G133" i="4"/>
  <c r="F133" i="4"/>
  <c r="A133" i="4"/>
  <c r="G474" i="4"/>
  <c r="F474" i="4"/>
  <c r="A474" i="4"/>
  <c r="G86" i="4"/>
  <c r="F86" i="4"/>
  <c r="A86" i="4"/>
  <c r="G1203" i="4"/>
  <c r="F1203" i="4"/>
  <c r="A1203" i="4"/>
  <c r="G883" i="4"/>
  <c r="F883" i="4"/>
  <c r="A883" i="4"/>
  <c r="G566" i="4"/>
  <c r="F566" i="4"/>
  <c r="A566" i="4"/>
  <c r="G167" i="4"/>
  <c r="F167" i="4"/>
  <c r="A167" i="4"/>
  <c r="G516" i="4"/>
  <c r="F516" i="4"/>
  <c r="A516" i="4"/>
  <c r="G586" i="4"/>
  <c r="F586" i="4"/>
  <c r="A586" i="4"/>
  <c r="G597" i="4"/>
  <c r="F597" i="4"/>
  <c r="A597" i="4"/>
  <c r="G1242" i="4"/>
  <c r="F1242" i="4"/>
  <c r="A1242" i="4"/>
  <c r="G738" i="4"/>
  <c r="F738" i="4"/>
  <c r="A738" i="4"/>
  <c r="G1319" i="4"/>
  <c r="F1319" i="4"/>
  <c r="A1319" i="4"/>
  <c r="G1238" i="4"/>
  <c r="F1238" i="4"/>
  <c r="A1238" i="4"/>
  <c r="G333" i="4"/>
  <c r="F333" i="4"/>
  <c r="A333" i="4"/>
  <c r="G332" i="4"/>
  <c r="F332" i="4"/>
  <c r="A332" i="4"/>
  <c r="G1271" i="4"/>
  <c r="F1271" i="4"/>
  <c r="A1271" i="4"/>
  <c r="G1055" i="4"/>
  <c r="F1055" i="4"/>
  <c r="A1055" i="4"/>
  <c r="G26" i="4"/>
  <c r="F26" i="4"/>
  <c r="A26" i="4"/>
  <c r="G28" i="4"/>
  <c r="F28" i="4"/>
  <c r="A28" i="4"/>
  <c r="G335" i="4"/>
  <c r="F335" i="4"/>
  <c r="A335" i="4"/>
  <c r="G275" i="4"/>
  <c r="F275" i="4"/>
  <c r="C275" i="4"/>
  <c r="A275" i="4"/>
  <c r="G546" i="4"/>
  <c r="F546" i="4"/>
  <c r="A546" i="4"/>
  <c r="G718" i="4"/>
  <c r="F718" i="4"/>
  <c r="A718" i="4"/>
  <c r="G834" i="4"/>
  <c r="F834" i="4"/>
  <c r="C834" i="4"/>
  <c r="A834" i="4"/>
  <c r="G1284" i="4"/>
  <c r="F1284" i="4"/>
  <c r="A1284" i="4"/>
  <c r="G867" i="4"/>
  <c r="F867" i="4"/>
  <c r="A867" i="4"/>
  <c r="G326" i="4"/>
  <c r="F326" i="4"/>
  <c r="A326" i="4"/>
  <c r="G1333" i="4"/>
  <c r="F1333" i="4"/>
  <c r="A1333" i="4"/>
  <c r="G1147" i="4"/>
  <c r="F1147" i="4"/>
  <c r="C1147" i="4"/>
  <c r="A1147" i="4"/>
  <c r="G1292" i="4"/>
  <c r="F1292" i="4"/>
  <c r="A1292" i="4"/>
  <c r="G850" i="4"/>
  <c r="F850" i="4"/>
  <c r="A850" i="4"/>
  <c r="G150" i="4"/>
  <c r="F150" i="4"/>
  <c r="A150" i="4"/>
  <c r="G365" i="4"/>
  <c r="F365" i="4"/>
  <c r="C365" i="4"/>
  <c r="A365" i="4"/>
  <c r="G180" i="4"/>
  <c r="F180" i="4"/>
  <c r="A180" i="4"/>
  <c r="G659" i="4"/>
  <c r="F659" i="4"/>
  <c r="A659" i="4"/>
  <c r="G706" i="4"/>
  <c r="F706" i="4"/>
  <c r="C706" i="4"/>
  <c r="A706" i="4"/>
  <c r="G934" i="4"/>
  <c r="F934" i="4"/>
  <c r="A934" i="4"/>
  <c r="G123" i="4"/>
  <c r="F123" i="4"/>
  <c r="A123" i="4"/>
  <c r="G176" i="4"/>
  <c r="F176" i="4"/>
  <c r="A176" i="4"/>
  <c r="G824" i="4"/>
  <c r="F824" i="4"/>
  <c r="C824" i="4"/>
  <c r="A824" i="4"/>
  <c r="G756" i="4"/>
  <c r="F756" i="4"/>
  <c r="A756" i="4"/>
  <c r="G1358" i="4"/>
  <c r="F1358" i="4"/>
  <c r="C1358" i="4"/>
  <c r="A1358" i="4"/>
  <c r="G968" i="4"/>
  <c r="F968" i="4"/>
  <c r="A968" i="4"/>
  <c r="G682" i="4"/>
  <c r="F682" i="4"/>
  <c r="A682" i="4"/>
  <c r="G363" i="4"/>
  <c r="F363" i="4"/>
  <c r="A363" i="4"/>
  <c r="G273" i="4"/>
  <c r="F273" i="4"/>
  <c r="A273" i="4"/>
  <c r="G127" i="4"/>
  <c r="F127" i="4"/>
  <c r="A127" i="4"/>
  <c r="G137" i="4"/>
  <c r="F137" i="4"/>
  <c r="C137" i="4"/>
  <c r="A137" i="4"/>
  <c r="G384" i="4"/>
  <c r="F384" i="4"/>
  <c r="A384" i="4"/>
  <c r="G1339" i="4"/>
  <c r="F1339" i="4"/>
  <c r="A1339" i="4"/>
  <c r="G58" i="4"/>
  <c r="F58" i="4"/>
  <c r="A58" i="4"/>
  <c r="G1240" i="4"/>
  <c r="F1240" i="4"/>
  <c r="A1240" i="4"/>
  <c r="G278" i="4"/>
  <c r="F278" i="4"/>
  <c r="A278" i="4"/>
  <c r="G1047" i="4"/>
  <c r="F1047" i="4"/>
  <c r="A1047" i="4"/>
  <c r="G988" i="4"/>
  <c r="F988" i="4"/>
  <c r="C988" i="4"/>
  <c r="A988" i="4"/>
  <c r="G952" i="4"/>
  <c r="F952" i="4"/>
  <c r="A952" i="4"/>
  <c r="G1310" i="4"/>
  <c r="F1310" i="4"/>
  <c r="A1310" i="4"/>
  <c r="G848" i="4"/>
  <c r="F848" i="4"/>
  <c r="A848" i="4"/>
  <c r="G611" i="4"/>
  <c r="F611" i="4"/>
  <c r="A611" i="4"/>
  <c r="G714" i="4"/>
  <c r="F714" i="4"/>
  <c r="A714" i="4"/>
  <c r="G436" i="4"/>
  <c r="F436" i="4"/>
  <c r="C436" i="4"/>
  <c r="A436" i="4"/>
  <c r="G871" i="4"/>
  <c r="F871" i="4"/>
  <c r="C871" i="4"/>
  <c r="A871" i="4"/>
  <c r="G1304" i="4"/>
  <c r="F1304" i="4"/>
  <c r="C1304" i="4"/>
  <c r="A1304" i="4"/>
  <c r="G1165" i="4"/>
  <c r="F1165" i="4"/>
  <c r="A1165" i="4"/>
  <c r="G68" i="4"/>
  <c r="F68" i="4"/>
  <c r="C68" i="4"/>
  <c r="A68" i="4"/>
  <c r="G993" i="4"/>
  <c r="F993" i="4"/>
  <c r="A993" i="4"/>
  <c r="G515" i="4"/>
  <c r="F515" i="4"/>
  <c r="A515" i="4"/>
  <c r="G290" i="4"/>
  <c r="F290" i="4"/>
  <c r="A290" i="4"/>
  <c r="G760" i="4"/>
  <c r="F760" i="4"/>
  <c r="C760" i="4"/>
  <c r="A760" i="4"/>
  <c r="G1042" i="4"/>
  <c r="F1042" i="4"/>
  <c r="A1042" i="4"/>
  <c r="G505" i="4"/>
  <c r="F505" i="4"/>
  <c r="C505" i="4"/>
  <c r="A505" i="4"/>
  <c r="G1044" i="4"/>
  <c r="F1044" i="4"/>
  <c r="A1044" i="4"/>
  <c r="G1036" i="4"/>
  <c r="F1036" i="4"/>
  <c r="A1036" i="4"/>
  <c r="G879" i="4"/>
  <c r="F879" i="4"/>
  <c r="A879" i="4"/>
  <c r="G743" i="4"/>
  <c r="F743" i="4"/>
  <c r="A743" i="4"/>
  <c r="G130" i="4"/>
  <c r="F130" i="4"/>
  <c r="A130" i="4"/>
  <c r="F1033" i="4"/>
  <c r="C1033" i="4"/>
  <c r="A1033" i="4"/>
  <c r="G790" i="4"/>
  <c r="F790" i="4"/>
  <c r="A790" i="4"/>
  <c r="G560" i="4"/>
  <c r="F560" i="4"/>
  <c r="C560" i="4"/>
  <c r="A560" i="4"/>
  <c r="G1117" i="4"/>
  <c r="F1117" i="4"/>
  <c r="A1117" i="4"/>
  <c r="G895" i="4"/>
  <c r="F895" i="4"/>
  <c r="A895" i="4"/>
  <c r="G395" i="4"/>
  <c r="F395" i="4"/>
  <c r="A395" i="4"/>
  <c r="G1274" i="4"/>
  <c r="F1274" i="4"/>
  <c r="A1274" i="4"/>
  <c r="G1273" i="4"/>
  <c r="F1273" i="4"/>
  <c r="A1273" i="4"/>
  <c r="G192" i="4"/>
  <c r="F192" i="4"/>
  <c r="A192" i="4"/>
  <c r="G644" i="4"/>
  <c r="F644" i="4"/>
  <c r="A644" i="4"/>
  <c r="G73" i="4"/>
  <c r="F73" i="4"/>
  <c r="A73" i="4"/>
  <c r="G847" i="4"/>
  <c r="F847" i="4"/>
  <c r="A847" i="4"/>
  <c r="G787" i="4"/>
  <c r="F787" i="4"/>
  <c r="A787" i="4"/>
  <c r="G900" i="4"/>
  <c r="F900" i="4"/>
  <c r="A900" i="4"/>
  <c r="G525" i="4"/>
  <c r="F525" i="4"/>
  <c r="A525" i="4"/>
  <c r="G1332" i="4"/>
  <c r="F1332" i="4"/>
  <c r="A1332" i="4"/>
  <c r="G368" i="4"/>
  <c r="F368" i="4"/>
  <c r="A368" i="4"/>
  <c r="G55" i="4"/>
  <c r="F55" i="4"/>
  <c r="A55" i="4"/>
  <c r="G1029" i="4"/>
  <c r="F1029" i="4"/>
  <c r="A1029" i="4"/>
  <c r="G306" i="4"/>
  <c r="F306" i="4"/>
  <c r="A306" i="4"/>
  <c r="G574" i="4"/>
  <c r="F574" i="4"/>
  <c r="A574" i="4"/>
  <c r="G552" i="4"/>
  <c r="F552" i="4"/>
  <c r="A552" i="4"/>
  <c r="G187" i="4"/>
  <c r="F187" i="4"/>
  <c r="A187" i="4"/>
  <c r="G287" i="4"/>
  <c r="F287" i="4"/>
  <c r="A287" i="4"/>
  <c r="G190" i="4"/>
  <c r="F190" i="4"/>
  <c r="A190" i="4"/>
  <c r="G431" i="4"/>
  <c r="F431" i="4"/>
  <c r="C431" i="4"/>
  <c r="A431" i="4"/>
  <c r="G748" i="4"/>
  <c r="F748" i="4"/>
  <c r="C748" i="4"/>
  <c r="A748" i="4"/>
  <c r="G23" i="4"/>
  <c r="F23" i="4"/>
  <c r="C23" i="4"/>
  <c r="A23" i="4"/>
  <c r="G129" i="4"/>
  <c r="F129" i="4"/>
  <c r="A129" i="4"/>
  <c r="G1140" i="4"/>
  <c r="F1140" i="4"/>
  <c r="C1140" i="4"/>
  <c r="A1140" i="4"/>
  <c r="G942" i="4"/>
  <c r="F942" i="4"/>
  <c r="C942" i="4"/>
  <c r="A942" i="4"/>
  <c r="G391" i="4"/>
  <c r="F391" i="4"/>
  <c r="A391" i="4"/>
  <c r="G106" i="4"/>
  <c r="F106" i="4"/>
  <c r="A106" i="4"/>
  <c r="G744" i="4"/>
  <c r="F744" i="4"/>
  <c r="A744" i="4"/>
  <c r="G680" i="4"/>
  <c r="F680" i="4"/>
  <c r="A680" i="4"/>
  <c r="G943" i="4"/>
  <c r="F943" i="4"/>
  <c r="C943" i="4"/>
  <c r="A943" i="4"/>
  <c r="G971" i="4"/>
  <c r="F971" i="4"/>
  <c r="A971" i="4"/>
  <c r="G576" i="4"/>
  <c r="F576" i="4"/>
  <c r="C576" i="4"/>
  <c r="A576" i="4"/>
  <c r="G1138" i="4"/>
  <c r="F1138" i="4"/>
  <c r="C1138" i="4"/>
  <c r="A1138" i="4"/>
  <c r="G354" i="4"/>
  <c r="F354" i="4"/>
  <c r="A354" i="4"/>
  <c r="G1014" i="4"/>
  <c r="F1014" i="4"/>
  <c r="A1014" i="4"/>
  <c r="G724" i="4"/>
  <c r="F724" i="4"/>
  <c r="A724" i="4"/>
  <c r="G614" i="4"/>
  <c r="F614" i="4"/>
  <c r="A614" i="4"/>
  <c r="G1109" i="4"/>
  <c r="F1109" i="4"/>
  <c r="C1109" i="4"/>
  <c r="A1109" i="4"/>
  <c r="G380" i="4"/>
  <c r="F380" i="4"/>
  <c r="A380" i="4"/>
  <c r="G161" i="4"/>
  <c r="F161" i="4"/>
  <c r="A161" i="4"/>
  <c r="G944" i="4"/>
  <c r="F944" i="4"/>
  <c r="A944" i="4"/>
  <c r="G1329" i="4"/>
  <c r="F1329" i="4"/>
  <c r="A1329" i="4"/>
  <c r="G665" i="4"/>
  <c r="F665" i="4"/>
  <c r="A665" i="4"/>
  <c r="G1025" i="4"/>
  <c r="F1025" i="4"/>
  <c r="A1025" i="4"/>
  <c r="G645" i="4"/>
  <c r="F645" i="4"/>
  <c r="A645" i="4"/>
  <c r="G90" i="4"/>
  <c r="F90" i="4"/>
  <c r="A90" i="4"/>
  <c r="G616" i="4"/>
  <c r="F616" i="4"/>
  <c r="A616" i="4"/>
  <c r="G809" i="4"/>
  <c r="F809" i="4"/>
  <c r="A809" i="4"/>
  <c r="G1279" i="4"/>
  <c r="F1279" i="4"/>
  <c r="C1279" i="4"/>
  <c r="A1279" i="4"/>
  <c r="G1258" i="4"/>
  <c r="F1258" i="4"/>
  <c r="A1258" i="4"/>
  <c r="G530" i="4"/>
  <c r="F530" i="4"/>
  <c r="A530" i="4"/>
  <c r="G470" i="4"/>
  <c r="F470" i="4"/>
  <c r="A470" i="4"/>
  <c r="G739" i="4"/>
  <c r="F739" i="4"/>
  <c r="A739" i="4"/>
  <c r="G1172" i="4"/>
  <c r="F1172" i="4"/>
  <c r="A1172" i="4"/>
  <c r="G937" i="4"/>
  <c r="F937" i="4"/>
  <c r="A937" i="4"/>
  <c r="H1102" i="4"/>
  <c r="G1102" i="4"/>
  <c r="F1102" i="4"/>
  <c r="A1102" i="4"/>
  <c r="G539" i="4"/>
  <c r="F539" i="4"/>
  <c r="A539" i="4"/>
  <c r="G687" i="4"/>
  <c r="F687" i="4"/>
  <c r="A687" i="4"/>
  <c r="G985" i="4"/>
  <c r="F985" i="4"/>
  <c r="C985" i="4"/>
  <c r="A985" i="4"/>
  <c r="G1188" i="4"/>
  <c r="F1188" i="4"/>
  <c r="A1188" i="4"/>
  <c r="G786" i="4"/>
  <c r="F786" i="4"/>
  <c r="A786" i="4"/>
  <c r="G912" i="4"/>
  <c r="F912" i="4"/>
  <c r="A912" i="4"/>
  <c r="G432" i="4"/>
  <c r="F432" i="4"/>
  <c r="A432" i="4"/>
  <c r="G405" i="4"/>
  <c r="F405" i="4"/>
  <c r="A405" i="4"/>
  <c r="G1222" i="4"/>
  <c r="F1222" i="4"/>
  <c r="A1222" i="4"/>
  <c r="G1297" i="4"/>
  <c r="F1297" i="4"/>
  <c r="A1297" i="4"/>
  <c r="G266" i="4"/>
  <c r="F266" i="4"/>
  <c r="A266" i="4"/>
  <c r="G378" i="4"/>
  <c r="F378" i="4"/>
  <c r="A378" i="4"/>
  <c r="G269" i="4"/>
  <c r="F269" i="4"/>
  <c r="A269" i="4"/>
  <c r="G940" i="4"/>
  <c r="F940" i="4"/>
  <c r="A940" i="4"/>
  <c r="G456" i="4"/>
  <c r="F456" i="4"/>
  <c r="A456" i="4"/>
  <c r="G648" i="4"/>
  <c r="F648" i="4"/>
  <c r="A648" i="4"/>
  <c r="G782" i="4"/>
  <c r="F782" i="4"/>
  <c r="A782" i="4"/>
  <c r="G1095" i="4"/>
  <c r="F1095" i="4"/>
  <c r="C1095" i="4"/>
  <c r="A1095" i="4"/>
  <c r="G541" i="4"/>
  <c r="F541" i="4"/>
  <c r="A541" i="4"/>
  <c r="G1039" i="4"/>
  <c r="F1039" i="4"/>
  <c r="A1039" i="4"/>
  <c r="G399" i="4"/>
  <c r="F399" i="4"/>
  <c r="A399" i="4"/>
  <c r="G536" i="4"/>
  <c r="F536" i="4"/>
  <c r="A536" i="4"/>
  <c r="G1318" i="4"/>
  <c r="F1318" i="4"/>
  <c r="A1318" i="4"/>
  <c r="G76" i="4"/>
  <c r="F76" i="4"/>
  <c r="A76" i="4"/>
  <c r="G343" i="4"/>
  <c r="F343" i="4"/>
  <c r="A343" i="4"/>
  <c r="G1123" i="4"/>
  <c r="F1123" i="4"/>
  <c r="A1123" i="4"/>
  <c r="G599" i="4"/>
  <c r="F599" i="4"/>
  <c r="A599" i="4"/>
  <c r="G667" i="4"/>
  <c r="F667" i="4"/>
  <c r="C667" i="4"/>
  <c r="A667" i="4"/>
  <c r="G788" i="4"/>
  <c r="F788" i="4"/>
  <c r="C788" i="4"/>
  <c r="A788" i="4"/>
  <c r="G428" i="4"/>
  <c r="F428" i="4"/>
  <c r="A428" i="4"/>
  <c r="G843" i="4"/>
  <c r="F843" i="4"/>
  <c r="A843" i="4"/>
  <c r="G274" i="4"/>
  <c r="F274" i="4"/>
  <c r="C274" i="4"/>
  <c r="A274" i="4"/>
  <c r="G408" i="4"/>
  <c r="F408" i="4"/>
  <c r="A408" i="4"/>
  <c r="G393" i="4"/>
  <c r="F393" i="4"/>
  <c r="A393" i="4"/>
  <c r="G15" i="4"/>
  <c r="F15" i="4"/>
  <c r="A15" i="4"/>
  <c r="G896" i="4"/>
  <c r="F896" i="4"/>
  <c r="A896" i="4"/>
  <c r="G717" i="4"/>
  <c r="F717" i="4"/>
  <c r="A717" i="4"/>
  <c r="G1342" i="4"/>
  <c r="F1342" i="4"/>
  <c r="A1342" i="4"/>
  <c r="G1272" i="4"/>
  <c r="F1272" i="4"/>
  <c r="A1272" i="4"/>
  <c r="G484" i="4"/>
  <c r="F484" i="4"/>
  <c r="C484" i="4"/>
  <c r="A484" i="4"/>
  <c r="G601" i="4"/>
  <c r="F601" i="4"/>
  <c r="C601" i="4"/>
  <c r="A601" i="4"/>
  <c r="G821" i="4"/>
  <c r="F821" i="4"/>
  <c r="A821" i="4"/>
  <c r="G933" i="4"/>
  <c r="F933" i="4"/>
  <c r="A933" i="4"/>
  <c r="G855" i="4"/>
  <c r="F855" i="4"/>
  <c r="C855" i="4"/>
  <c r="A855" i="4"/>
  <c r="G1225" i="4"/>
  <c r="F1225" i="4"/>
  <c r="A1225" i="4"/>
  <c r="G1097" i="4"/>
  <c r="F1097" i="4"/>
  <c r="A1097" i="4"/>
  <c r="G1043" i="4"/>
  <c r="F1043" i="4"/>
  <c r="C1043" i="4"/>
  <c r="A1043" i="4"/>
  <c r="G122" i="4"/>
  <c r="F122" i="4"/>
  <c r="A122" i="4"/>
  <c r="G151" i="4"/>
  <c r="F151" i="4"/>
  <c r="A151" i="4"/>
  <c r="G632" i="4"/>
  <c r="F632" i="4"/>
  <c r="A632" i="4"/>
  <c r="G315" i="4"/>
  <c r="F315" i="4"/>
  <c r="C315" i="4"/>
  <c r="A315" i="4"/>
  <c r="G1237" i="4"/>
  <c r="F1237" i="4"/>
  <c r="A1237" i="4"/>
  <c r="G1152" i="4"/>
  <c r="F1152" i="4"/>
  <c r="A1152" i="4"/>
  <c r="G1286" i="4"/>
  <c r="F1286" i="4"/>
  <c r="A1286" i="4"/>
  <c r="G700" i="4"/>
  <c r="F700" i="4"/>
  <c r="C700" i="4"/>
  <c r="A700" i="4"/>
  <c r="G916" i="4"/>
  <c r="F916" i="4"/>
  <c r="A916" i="4"/>
  <c r="G941" i="4"/>
  <c r="F941" i="4"/>
  <c r="A941" i="4"/>
  <c r="G910" i="4"/>
  <c r="F910" i="4"/>
  <c r="A910" i="4"/>
  <c r="G977" i="4"/>
  <c r="F977" i="4"/>
  <c r="A977" i="4"/>
  <c r="G1004" i="4"/>
  <c r="F1004" i="4"/>
  <c r="A1004" i="4"/>
  <c r="G514" i="4"/>
  <c r="F514" i="4"/>
  <c r="A514" i="4"/>
  <c r="G385" i="4"/>
  <c r="F385" i="4"/>
  <c r="A385" i="4"/>
  <c r="G675" i="4"/>
  <c r="F675" i="4"/>
  <c r="A675" i="4"/>
  <c r="G908" i="4"/>
  <c r="F908" i="4"/>
  <c r="A908" i="4"/>
  <c r="G545" i="4"/>
  <c r="F545" i="4"/>
  <c r="A545" i="4"/>
  <c r="G808" i="4"/>
  <c r="F808" i="4"/>
  <c r="C808" i="4"/>
  <c r="A808" i="4"/>
  <c r="H1208" i="4"/>
  <c r="G1208" i="4"/>
  <c r="F1208" i="4"/>
  <c r="A1208" i="4"/>
  <c r="G772" i="4"/>
  <c r="F772" i="4"/>
  <c r="C772" i="4"/>
  <c r="A772" i="4"/>
  <c r="G1068" i="4"/>
  <c r="F1068" i="4"/>
  <c r="A1068" i="4"/>
  <c r="G1265" i="4"/>
  <c r="F1265" i="4"/>
  <c r="A1265" i="4"/>
  <c r="G670" i="4"/>
  <c r="F670" i="4"/>
  <c r="A670" i="4"/>
  <c r="G1010" i="4"/>
  <c r="F1010" i="4"/>
  <c r="A1010" i="4"/>
  <c r="G1290" i="4"/>
  <c r="F1290" i="4"/>
  <c r="A1290" i="4"/>
  <c r="G849" i="4"/>
  <c r="F849" i="4"/>
  <c r="A849" i="4"/>
  <c r="G513" i="4"/>
  <c r="F513" i="4"/>
  <c r="A513" i="4"/>
  <c r="G1221" i="4"/>
  <c r="F1221" i="4"/>
  <c r="A1221" i="4"/>
  <c r="G963" i="4"/>
  <c r="F963" i="4"/>
  <c r="A963" i="4"/>
  <c r="G10" i="4"/>
  <c r="F10" i="4"/>
  <c r="A10" i="4"/>
  <c r="G1198" i="4"/>
  <c r="F1198" i="4"/>
  <c r="A1198" i="4"/>
  <c r="G958" i="4"/>
  <c r="F958" i="4"/>
  <c r="A958" i="4"/>
  <c r="G664" i="4"/>
  <c r="F664" i="4"/>
  <c r="A664" i="4"/>
  <c r="G817" i="4"/>
  <c r="F817" i="4"/>
  <c r="A817" i="4"/>
  <c r="G409" i="4"/>
  <c r="F409" i="4"/>
  <c r="A409" i="4"/>
  <c r="G1321" i="4"/>
  <c r="F1321" i="4"/>
  <c r="A1321" i="4"/>
  <c r="G64" i="4"/>
  <c r="F64" i="4"/>
  <c r="A64" i="4"/>
  <c r="G1301" i="4"/>
  <c r="F1301" i="4"/>
  <c r="A1301" i="4"/>
  <c r="G30" i="4"/>
  <c r="F30" i="4"/>
  <c r="C30" i="4"/>
  <c r="A30" i="4"/>
  <c r="G512" i="4"/>
  <c r="F512" i="4"/>
  <c r="A512" i="4"/>
  <c r="G857" i="4"/>
  <c r="F857" i="4"/>
  <c r="A857" i="4"/>
  <c r="G1000" i="4"/>
  <c r="F1000" i="4"/>
  <c r="A1000" i="4"/>
  <c r="G177" i="4"/>
  <c r="F177" i="4"/>
  <c r="A177" i="4"/>
  <c r="G957" i="4"/>
  <c r="F957" i="4"/>
  <c r="A957" i="4"/>
  <c r="G983" i="4"/>
  <c r="F983" i="4"/>
  <c r="A983" i="4"/>
  <c r="G502" i="4"/>
  <c r="F502" i="4"/>
  <c r="A502" i="4"/>
  <c r="G1346" i="4"/>
  <c r="F1346" i="4"/>
  <c r="C1346" i="4"/>
  <c r="A1346" i="4"/>
  <c r="G639" i="4"/>
  <c r="F639" i="4"/>
  <c r="A639" i="4"/>
  <c r="G964" i="4"/>
  <c r="F964" i="4"/>
  <c r="A964" i="4"/>
  <c r="G533" i="4"/>
  <c r="F533" i="4"/>
  <c r="A533" i="4"/>
  <c r="G282" i="4"/>
  <c r="F282" i="4"/>
  <c r="A282" i="4"/>
  <c r="G1199" i="4"/>
  <c r="F1199" i="4"/>
  <c r="A1199" i="4"/>
  <c r="G1082" i="4"/>
  <c r="F1082" i="4"/>
  <c r="A1082" i="4"/>
  <c r="G475" i="4"/>
  <c r="F475" i="4"/>
  <c r="C475" i="4"/>
  <c r="A475" i="4"/>
  <c r="G742" i="4"/>
  <c r="F742" i="4"/>
  <c r="A742" i="4"/>
  <c r="G836" i="4"/>
  <c r="F836" i="4"/>
  <c r="A836" i="4"/>
  <c r="G631" i="4"/>
  <c r="F631" i="4"/>
  <c r="A631" i="4"/>
  <c r="G716" i="4"/>
  <c r="F716" i="4"/>
  <c r="A716" i="4"/>
  <c r="G690" i="4"/>
  <c r="F690" i="4"/>
  <c r="A690" i="4"/>
  <c r="G1209" i="4"/>
  <c r="F1209" i="4"/>
  <c r="A1209" i="4"/>
  <c r="G2" i="4"/>
  <c r="F2" i="4"/>
  <c r="B2" i="4"/>
  <c r="A2" i="4"/>
  <c r="G638" i="4"/>
  <c r="F638" i="4"/>
  <c r="A638" i="4"/>
  <c r="G672" i="4"/>
  <c r="F672" i="4"/>
  <c r="C672" i="4"/>
  <c r="A672" i="4"/>
  <c r="G1018" i="4"/>
  <c r="F1018" i="4"/>
  <c r="A1018" i="4"/>
  <c r="G162" i="4"/>
  <c r="F162" i="4"/>
  <c r="A162" i="4"/>
  <c r="G551" i="4"/>
  <c r="F551" i="4"/>
  <c r="A551" i="4"/>
  <c r="G606" i="4"/>
  <c r="F606" i="4"/>
  <c r="C606" i="4"/>
  <c r="A606" i="4"/>
  <c r="G962" i="4"/>
  <c r="F962" i="4"/>
  <c r="A962" i="4"/>
  <c r="G838" i="4"/>
  <c r="F838" i="4"/>
  <c r="A838" i="4"/>
  <c r="G572" i="4"/>
  <c r="F572" i="4"/>
  <c r="C572" i="4"/>
  <c r="A572" i="4"/>
  <c r="G1116" i="4"/>
  <c r="F1116" i="4"/>
  <c r="A1116" i="4"/>
  <c r="G478" i="4"/>
  <c r="F478" i="4"/>
  <c r="A478" i="4"/>
  <c r="G851" i="4"/>
  <c r="F851" i="4"/>
  <c r="C851" i="4"/>
  <c r="A851" i="4"/>
  <c r="G1155" i="4"/>
  <c r="F1155" i="4"/>
  <c r="C1155" i="4"/>
  <c r="A1155" i="4"/>
  <c r="G987" i="4"/>
  <c r="F987" i="4"/>
  <c r="A987" i="4"/>
  <c r="G263" i="4"/>
  <c r="F263" i="4"/>
  <c r="A263" i="4"/>
  <c r="G503" i="4"/>
  <c r="F503" i="4"/>
  <c r="A503" i="4"/>
  <c r="G1264" i="4"/>
  <c r="F1264" i="4"/>
  <c r="A1264" i="4"/>
  <c r="G1154" i="4"/>
  <c r="F1154" i="4"/>
  <c r="C1154" i="4"/>
  <c r="A1154" i="4"/>
  <c r="G695" i="4"/>
  <c r="F695" i="4"/>
  <c r="A695" i="4"/>
  <c r="G1181" i="4"/>
  <c r="F1181" i="4"/>
  <c r="A1181" i="4"/>
  <c r="G864" i="4"/>
  <c r="F864" i="4"/>
  <c r="A864" i="4"/>
  <c r="G649" i="4"/>
  <c r="F649" i="4"/>
  <c r="A649" i="4"/>
  <c r="G16" i="4"/>
  <c r="F16" i="4"/>
  <c r="A16" i="4"/>
  <c r="G548" i="4"/>
  <c r="F548" i="4"/>
  <c r="A548" i="4"/>
  <c r="G1232" i="4"/>
  <c r="F1232" i="4"/>
  <c r="A1232" i="4"/>
  <c r="G544" i="4"/>
  <c r="F544" i="4"/>
  <c r="C544" i="4"/>
  <c r="A544" i="4"/>
  <c r="G581" i="4"/>
  <c r="F581" i="4"/>
  <c r="C581" i="4"/>
  <c r="A581" i="4"/>
  <c r="G691" i="4"/>
  <c r="F691" i="4"/>
  <c r="C691" i="4"/>
  <c r="A691" i="4"/>
  <c r="G448" i="4"/>
  <c r="F448" i="4"/>
  <c r="C448" i="4"/>
  <c r="A448" i="4"/>
  <c r="G873" i="4"/>
  <c r="F873" i="4"/>
  <c r="A873" i="4"/>
  <c r="G294" i="4"/>
  <c r="F294" i="4"/>
  <c r="A294" i="4"/>
  <c r="G89" i="4"/>
  <c r="F89" i="4"/>
  <c r="A89" i="4"/>
  <c r="G1285" i="4"/>
  <c r="F1285" i="4"/>
  <c r="A1285" i="4"/>
  <c r="G1282" i="4"/>
  <c r="F1282" i="4"/>
  <c r="A1282" i="4"/>
  <c r="G524" i="4"/>
  <c r="F524" i="4"/>
  <c r="A524" i="4"/>
  <c r="G338" i="4"/>
  <c r="F338" i="4"/>
  <c r="A338" i="4"/>
  <c r="G1303" i="4"/>
  <c r="F1303" i="4"/>
  <c r="A1303" i="4"/>
  <c r="G677" i="4"/>
  <c r="F677" i="4"/>
  <c r="A677" i="4"/>
  <c r="G1269" i="4"/>
  <c r="F1269" i="4"/>
  <c r="A1269" i="4"/>
  <c r="G1180" i="4"/>
  <c r="F1180" i="4"/>
  <c r="C1180" i="4"/>
  <c r="A1180" i="4"/>
  <c r="G605" i="4"/>
  <c r="F605" i="4"/>
  <c r="A605" i="4"/>
  <c r="G1191" i="4"/>
  <c r="F1191" i="4"/>
  <c r="C1191" i="4"/>
  <c r="A1191" i="4"/>
  <c r="G749" i="4"/>
  <c r="F749" i="4"/>
  <c r="A749" i="4"/>
  <c r="G4" i="4"/>
  <c r="F4" i="4"/>
  <c r="B4" i="4"/>
  <c r="A4" i="4"/>
  <c r="G842" i="4"/>
  <c r="F842" i="4"/>
  <c r="A842" i="4"/>
  <c r="G984" i="4"/>
  <c r="F984" i="4"/>
  <c r="A984" i="4"/>
  <c r="G451" i="4"/>
  <c r="F451" i="4"/>
  <c r="C451" i="4"/>
  <c r="A451" i="4"/>
  <c r="G1016" i="4"/>
  <c r="F1016" i="4"/>
  <c r="A1016" i="4"/>
  <c r="G120" i="4"/>
  <c r="F120" i="4"/>
  <c r="A120" i="4"/>
  <c r="G1266" i="4"/>
  <c r="F1266" i="4"/>
  <c r="C1266" i="4"/>
  <c r="A1266" i="4"/>
  <c r="G1229" i="4"/>
  <c r="F1229" i="4"/>
  <c r="C1229" i="4"/>
  <c r="A1229" i="4"/>
  <c r="G264" i="4"/>
  <c r="F264" i="4"/>
  <c r="A264" i="4"/>
  <c r="G1241" i="4"/>
  <c r="F1241" i="4"/>
  <c r="A1241" i="4"/>
  <c r="F951" i="4"/>
  <c r="E951" i="4"/>
  <c r="D951" i="4"/>
  <c r="C951" i="4"/>
  <c r="A951" i="4"/>
  <c r="F950" i="4"/>
  <c r="E950" i="4"/>
  <c r="D950" i="4"/>
  <c r="C950" i="4"/>
  <c r="A950" i="4"/>
  <c r="F949" i="4"/>
  <c r="E949" i="4"/>
  <c r="D949" i="4"/>
  <c r="C949" i="4"/>
  <c r="A949" i="4"/>
  <c r="F1356" i="4"/>
  <c r="E1356" i="4"/>
  <c r="D1356" i="4"/>
  <c r="C1356" i="4"/>
  <c r="A1356" i="4"/>
  <c r="F1340" i="4"/>
  <c r="E1340" i="4"/>
  <c r="D1340" i="4"/>
  <c r="C1340" i="4"/>
  <c r="A1340" i="4"/>
  <c r="F1249" i="4"/>
  <c r="E1249" i="4"/>
  <c r="D1249" i="4"/>
  <c r="C1249" i="4"/>
  <c r="A1249" i="4"/>
  <c r="F1186" i="4"/>
  <c r="E1186" i="4"/>
  <c r="D1186" i="4"/>
  <c r="C1186" i="4"/>
  <c r="A1186" i="4"/>
  <c r="F1151" i="4"/>
  <c r="E1151" i="4"/>
  <c r="D1151" i="4"/>
  <c r="C1151" i="4"/>
  <c r="A1151" i="4"/>
  <c r="F1089" i="4"/>
  <c r="E1089" i="4"/>
  <c r="D1089" i="4"/>
  <c r="C1089" i="4"/>
  <c r="A1089" i="4"/>
  <c r="F1074" i="4"/>
  <c r="E1074" i="4"/>
  <c r="D1074" i="4"/>
  <c r="C1074" i="4"/>
  <c r="A1074" i="4"/>
  <c r="F1002" i="4"/>
  <c r="E1002" i="4"/>
  <c r="D1002" i="4"/>
  <c r="C1002" i="4"/>
  <c r="A1002" i="4"/>
  <c r="F946" i="4"/>
  <c r="E946" i="4"/>
  <c r="D946" i="4"/>
  <c r="C946" i="4"/>
  <c r="A946" i="4"/>
  <c r="F932" i="4"/>
  <c r="E932" i="4"/>
  <c r="D932" i="4"/>
  <c r="C932" i="4"/>
  <c r="A932" i="4"/>
  <c r="F920" i="4"/>
  <c r="E920" i="4"/>
  <c r="D920" i="4"/>
  <c r="C920" i="4"/>
  <c r="A920" i="4"/>
  <c r="F802" i="4"/>
  <c r="E802" i="4"/>
  <c r="D802" i="4"/>
  <c r="C802" i="4"/>
  <c r="A802" i="4"/>
  <c r="F793" i="4"/>
  <c r="E793" i="4"/>
  <c r="D793" i="4"/>
  <c r="C793" i="4"/>
  <c r="A793" i="4"/>
  <c r="F791" i="4"/>
  <c r="E791" i="4"/>
  <c r="D791" i="4"/>
  <c r="C791" i="4"/>
  <c r="A791" i="4"/>
  <c r="F758" i="4"/>
  <c r="E758" i="4"/>
  <c r="D758" i="4"/>
  <c r="C758" i="4"/>
  <c r="A758" i="4"/>
  <c r="F755" i="4"/>
  <c r="E755" i="4"/>
  <c r="D755" i="4"/>
  <c r="C755" i="4"/>
  <c r="A755" i="4"/>
  <c r="F752" i="4"/>
  <c r="E752" i="4"/>
  <c r="D752" i="4"/>
  <c r="C752" i="4"/>
  <c r="A752" i="4"/>
  <c r="F751" i="4"/>
  <c r="E751" i="4"/>
  <c r="D751" i="4"/>
  <c r="C751" i="4"/>
  <c r="A751" i="4"/>
  <c r="F741" i="4"/>
  <c r="E741" i="4"/>
  <c r="D741" i="4"/>
  <c r="C741" i="4"/>
  <c r="A741" i="4"/>
  <c r="F720" i="4"/>
  <c r="E720" i="4"/>
  <c r="D720" i="4"/>
  <c r="C720" i="4"/>
  <c r="A720" i="4"/>
  <c r="F663" i="4"/>
  <c r="E663" i="4"/>
  <c r="D663" i="4"/>
  <c r="C663" i="4"/>
  <c r="A663" i="4"/>
  <c r="F589" i="4"/>
  <c r="E589" i="4"/>
  <c r="D589" i="4"/>
  <c r="C589" i="4"/>
  <c r="A589" i="4"/>
  <c r="F569" i="4"/>
  <c r="E569" i="4"/>
  <c r="D569" i="4"/>
  <c r="C569" i="4"/>
  <c r="A569" i="4"/>
  <c r="F568" i="4"/>
  <c r="E568" i="4"/>
  <c r="D568" i="4"/>
  <c r="C568" i="4"/>
  <c r="A568" i="4"/>
  <c r="F547" i="4"/>
  <c r="E547" i="4"/>
  <c r="D547" i="4"/>
  <c r="C547" i="4"/>
  <c r="A547" i="4"/>
  <c r="F522" i="4"/>
  <c r="E522" i="4"/>
  <c r="D522" i="4"/>
  <c r="C522" i="4"/>
  <c r="A522" i="4"/>
  <c r="F495" i="4"/>
  <c r="E495" i="4"/>
  <c r="D495" i="4"/>
  <c r="C495" i="4"/>
  <c r="A495" i="4"/>
  <c r="F460" i="4"/>
  <c r="E460" i="4"/>
  <c r="D460" i="4"/>
  <c r="C460" i="4"/>
  <c r="A460" i="4"/>
  <c r="F455" i="4"/>
  <c r="E455" i="4"/>
  <c r="D455" i="4"/>
  <c r="C455" i="4"/>
  <c r="A455" i="4"/>
  <c r="F450" i="4"/>
  <c r="E450" i="4"/>
  <c r="D450" i="4"/>
  <c r="C450" i="4"/>
  <c r="A450" i="4"/>
  <c r="F422" i="4"/>
  <c r="E422" i="4"/>
  <c r="D422" i="4"/>
  <c r="C422" i="4"/>
  <c r="A422" i="4"/>
  <c r="F357" i="4"/>
  <c r="E357" i="4"/>
  <c r="D357" i="4"/>
  <c r="C357" i="4"/>
  <c r="A357" i="4"/>
  <c r="F352" i="4"/>
  <c r="E352" i="4"/>
  <c r="D352" i="4"/>
  <c r="C352" i="4"/>
  <c r="A352" i="4"/>
  <c r="F325" i="4"/>
  <c r="E325" i="4"/>
  <c r="D325" i="4"/>
  <c r="C325" i="4"/>
  <c r="A325" i="4"/>
  <c r="F324" i="4"/>
  <c r="E324" i="4"/>
  <c r="D324" i="4"/>
  <c r="C324" i="4"/>
  <c r="A324" i="4"/>
  <c r="F321" i="4"/>
  <c r="E321" i="4"/>
  <c r="D321" i="4"/>
  <c r="C321" i="4"/>
  <c r="A321" i="4"/>
  <c r="F317" i="4"/>
  <c r="E317" i="4"/>
  <c r="D317" i="4"/>
  <c r="C317" i="4"/>
  <c r="A317" i="4"/>
  <c r="F272" i="4"/>
  <c r="E272" i="4"/>
  <c r="D272" i="4"/>
  <c r="C272" i="4"/>
  <c r="A272" i="4"/>
  <c r="F186" i="4"/>
  <c r="E186" i="4"/>
  <c r="D186" i="4"/>
  <c r="C186" i="4"/>
  <c r="A186" i="4"/>
  <c r="F160" i="4"/>
  <c r="E160" i="4"/>
  <c r="D160" i="4"/>
  <c r="C160" i="4"/>
  <c r="A160" i="4"/>
  <c r="F153" i="4"/>
  <c r="E153" i="4"/>
  <c r="D153" i="4"/>
  <c r="C153" i="4"/>
  <c r="A153" i="4"/>
  <c r="F149" i="4"/>
  <c r="E149" i="4"/>
  <c r="D149" i="4"/>
  <c r="C149" i="4"/>
  <c r="A149" i="4"/>
  <c r="F110" i="4"/>
  <c r="E110" i="4"/>
  <c r="D110" i="4"/>
  <c r="C110" i="4"/>
  <c r="A110" i="4"/>
  <c r="F40" i="4"/>
  <c r="E40" i="4"/>
  <c r="D40" i="4"/>
  <c r="C40" i="4"/>
  <c r="A40" i="4"/>
  <c r="F33" i="4"/>
  <c r="E33" i="4"/>
  <c r="D33" i="4"/>
  <c r="C33" i="4"/>
  <c r="A33" i="4"/>
  <c r="F7" i="4"/>
  <c r="E7" i="4"/>
  <c r="D7" i="4"/>
  <c r="C7" i="4"/>
  <c r="A7" i="4"/>
  <c r="G669" i="4"/>
  <c r="F669" i="4"/>
  <c r="A669" i="4"/>
  <c r="G339" i="4"/>
  <c r="F339" i="4"/>
  <c r="A339" i="4"/>
  <c r="G1177" i="4"/>
  <c r="F1177" i="4"/>
  <c r="A1177" i="4"/>
  <c r="G154" i="4"/>
  <c r="F154" i="4"/>
  <c r="A154" i="4"/>
  <c r="G159" i="4"/>
  <c r="F159" i="4"/>
  <c r="C159" i="4"/>
  <c r="A159" i="4"/>
  <c r="G1224" i="4"/>
  <c r="F1224" i="4"/>
  <c r="A1224" i="4"/>
  <c r="G635" i="4"/>
  <c r="F635" i="4"/>
  <c r="C635" i="4"/>
  <c r="A635" i="4"/>
  <c r="G1255" i="4"/>
  <c r="F1255" i="4"/>
  <c r="C1255" i="4"/>
  <c r="A1255" i="4"/>
  <c r="G1110" i="4"/>
  <c r="F1110" i="4"/>
  <c r="A1110" i="4"/>
  <c r="F876" i="4"/>
  <c r="A876" i="4"/>
  <c r="G875" i="4"/>
  <c r="F875" i="4"/>
  <c r="A875" i="4"/>
  <c r="F1309" i="4"/>
  <c r="E1309" i="4"/>
  <c r="D1309" i="4"/>
  <c r="C1309" i="4"/>
  <c r="A1309" i="4"/>
  <c r="F417" i="4"/>
  <c r="E417" i="4"/>
  <c r="D417" i="4"/>
  <c r="C417" i="4"/>
  <c r="A417" i="4"/>
  <c r="F1124" i="4"/>
  <c r="E1124" i="4"/>
  <c r="D1124" i="4"/>
  <c r="C1124" i="4"/>
  <c r="A1124" i="4"/>
  <c r="F447" i="4"/>
  <c r="E447" i="4"/>
  <c r="D447" i="4"/>
  <c r="C447" i="4"/>
  <c r="A447" i="4"/>
  <c r="F439" i="4"/>
  <c r="E439" i="4"/>
  <c r="D439" i="4"/>
  <c r="C439" i="4"/>
  <c r="A439" i="4"/>
  <c r="F441" i="4"/>
  <c r="E441" i="4"/>
  <c r="D441" i="4"/>
  <c r="C441" i="4"/>
  <c r="A441" i="4"/>
  <c r="F440" i="4"/>
  <c r="E440" i="4"/>
  <c r="D440" i="4"/>
  <c r="C440" i="4"/>
  <c r="A440" i="4"/>
  <c r="A445" i="4"/>
  <c r="A444" i="4"/>
  <c r="A948" i="4"/>
  <c r="G297" i="4"/>
  <c r="F297" i="4"/>
  <c r="C297" i="4"/>
  <c r="A297" i="4"/>
  <c r="A1350" i="4"/>
  <c r="A433" i="4"/>
  <c r="A831" i="4"/>
  <c r="A813" i="4"/>
  <c r="A830" i="4"/>
  <c r="G833" i="4"/>
  <c r="F833" i="4"/>
  <c r="A833" i="4"/>
  <c r="A814" i="4"/>
  <c r="A446" i="4"/>
  <c r="G1226" i="4"/>
  <c r="F1226" i="4"/>
  <c r="A1226" i="4"/>
  <c r="A442" i="4"/>
  <c r="A443" i="4"/>
  <c r="A437" i="4"/>
  <c r="A438" i="4"/>
  <c r="A362" i="4"/>
  <c r="A1313" i="4"/>
  <c r="G1353" i="4"/>
  <c r="F1353" i="4"/>
  <c r="A1353" i="4"/>
  <c r="A1312" i="4"/>
  <c r="G316" i="4"/>
  <c r="F316" i="4"/>
  <c r="A316" i="4"/>
  <c r="A947" i="4"/>
  <c r="G890" i="4"/>
  <c r="F890" i="4"/>
  <c r="A890" i="4"/>
  <c r="G1347" i="4"/>
  <c r="F1347" i="4"/>
  <c r="C1347" i="4"/>
  <c r="A1347" i="4"/>
  <c r="G858" i="4"/>
  <c r="F858" i="4"/>
  <c r="A858" i="4"/>
  <c r="G1098" i="4"/>
  <c r="F1098" i="4"/>
  <c r="A1098" i="4"/>
  <c r="G31" i="4"/>
  <c r="F31" i="4"/>
  <c r="C31" i="4"/>
  <c r="A31" i="4"/>
  <c r="G928" i="4"/>
  <c r="F928" i="4"/>
  <c r="C928" i="4"/>
  <c r="A928" i="4"/>
  <c r="G872" i="4"/>
  <c r="F872" i="4"/>
  <c r="A872" i="4"/>
  <c r="G389" i="4"/>
  <c r="F389" i="4"/>
  <c r="C389" i="4"/>
  <c r="A389" i="4"/>
  <c r="G935" i="4"/>
  <c r="F935" i="4"/>
  <c r="A935" i="4"/>
  <c r="G999" i="4"/>
  <c r="F999" i="4"/>
  <c r="A999" i="4"/>
  <c r="G1021" i="4"/>
  <c r="F1021" i="4"/>
  <c r="C1021" i="4"/>
  <c r="A1021" i="4"/>
  <c r="G142" i="4"/>
  <c r="F142" i="4"/>
  <c r="A142" i="4"/>
  <c r="G535" i="4"/>
  <c r="F535" i="4"/>
  <c r="A535" i="4"/>
  <c r="G801" i="4"/>
  <c r="F801" i="4"/>
  <c r="A801" i="4"/>
  <c r="G1017" i="4"/>
  <c r="F1017" i="4"/>
  <c r="C1017" i="4"/>
  <c r="A1017" i="4"/>
  <c r="G559" i="4"/>
  <c r="F559" i="4"/>
  <c r="A559" i="4"/>
  <c r="G939" i="4"/>
  <c r="F939" i="4"/>
  <c r="A939" i="4"/>
  <c r="G1305" i="4"/>
  <c r="F1305" i="4"/>
  <c r="A1305" i="4"/>
  <c r="G48" i="4"/>
  <c r="F48" i="4"/>
  <c r="A48" i="4"/>
  <c r="G1351" i="4"/>
  <c r="F1351" i="4"/>
  <c r="A1351" i="4"/>
  <c r="G116" i="4"/>
  <c r="F116" i="4"/>
  <c r="A116" i="4"/>
  <c r="G1046" i="4"/>
  <c r="F1046" i="4"/>
  <c r="C1046" i="4"/>
  <c r="A1046" i="4"/>
  <c r="G636" i="4"/>
  <c r="F636" i="4"/>
  <c r="A636" i="4"/>
  <c r="G1129" i="4"/>
  <c r="F1129" i="4"/>
  <c r="A1129" i="4"/>
  <c r="G1345" i="4"/>
  <c r="F1345" i="4"/>
  <c r="A1345" i="4"/>
  <c r="G345" i="4"/>
  <c r="F345" i="4"/>
  <c r="A345" i="4"/>
  <c r="G1156" i="4"/>
  <c r="F1156" i="4"/>
  <c r="A1156" i="4"/>
  <c r="G302" i="4"/>
  <c r="F302" i="4"/>
  <c r="C302" i="4"/>
  <c r="A302" i="4"/>
  <c r="G403" i="4"/>
  <c r="F403" i="4"/>
  <c r="A403" i="4"/>
  <c r="G1090" i="4"/>
  <c r="F1090" i="4"/>
  <c r="C1090" i="4"/>
  <c r="A1090" i="4"/>
  <c r="G798" i="4"/>
  <c r="F798" i="4"/>
  <c r="A798" i="4"/>
  <c r="G1128" i="4"/>
  <c r="F1128" i="4"/>
  <c r="A1128" i="4"/>
  <c r="G457" i="4"/>
  <c r="F457" i="4"/>
  <c r="C457" i="4"/>
  <c r="A457" i="4"/>
  <c r="G1246" i="4"/>
  <c r="F1246" i="4"/>
  <c r="A1246" i="4"/>
  <c r="G1261" i="4"/>
  <c r="F1261" i="4"/>
  <c r="A1261" i="4"/>
  <c r="G870" i="4"/>
  <c r="F870" i="4"/>
  <c r="A870" i="4"/>
  <c r="F13" i="4"/>
  <c r="C13" i="4"/>
  <c r="A13" i="4"/>
  <c r="G608" i="4"/>
  <c r="F608" i="4"/>
  <c r="A608" i="4"/>
  <c r="G996" i="4"/>
  <c r="F996" i="4"/>
  <c r="A996" i="4"/>
  <c r="G39" i="4"/>
  <c r="F39" i="4"/>
  <c r="A39" i="4"/>
  <c r="G296" i="4"/>
  <c r="F296" i="4"/>
  <c r="A296" i="4"/>
  <c r="G902" i="4"/>
  <c r="F902" i="4"/>
  <c r="A902" i="4"/>
  <c r="G99" i="4"/>
  <c r="F99" i="4"/>
  <c r="A99" i="4"/>
  <c r="G1245" i="4"/>
  <c r="F1245" i="4"/>
  <c r="A1245" i="4"/>
  <c r="G994" i="4"/>
  <c r="F994" i="4"/>
  <c r="A994" i="4"/>
  <c r="G449" i="4"/>
  <c r="F449" i="4"/>
  <c r="A449" i="4"/>
  <c r="G642" i="4"/>
  <c r="F642" i="4"/>
  <c r="A642" i="4"/>
  <c r="G401" i="4"/>
  <c r="F401" i="4"/>
  <c r="A401" i="4"/>
  <c r="G397" i="4"/>
  <c r="F397" i="4"/>
  <c r="A397" i="4"/>
  <c r="G479" i="4"/>
  <c r="F479" i="4"/>
  <c r="C479" i="4"/>
  <c r="A479" i="4"/>
  <c r="G1316" i="4"/>
  <c r="F1316" i="4"/>
  <c r="C1316" i="4"/>
  <c r="A1316" i="4"/>
  <c r="G374" i="4"/>
  <c r="F374" i="4"/>
  <c r="A374" i="4"/>
  <c r="G591" i="4"/>
  <c r="F591" i="4"/>
  <c r="A591" i="4"/>
  <c r="G1077" i="4"/>
  <c r="F1077" i="4"/>
  <c r="A1077" i="4"/>
  <c r="G856" i="4"/>
  <c r="F856" i="4"/>
  <c r="A856" i="4"/>
  <c r="G8" i="4"/>
  <c r="F8" i="4"/>
  <c r="A8" i="4"/>
  <c r="G1201" i="4"/>
  <c r="F1201" i="4"/>
  <c r="C1201" i="4"/>
  <c r="A1201" i="4"/>
  <c r="G327" i="4"/>
  <c r="F327" i="4"/>
  <c r="A327" i="4"/>
  <c r="G761" i="4"/>
  <c r="F761" i="4"/>
  <c r="A761" i="4"/>
  <c r="G822" i="4"/>
  <c r="F822" i="4"/>
  <c r="A822" i="4"/>
  <c r="G975" i="4"/>
  <c r="F975" i="4"/>
  <c r="A975" i="4"/>
  <c r="G734" i="4"/>
  <c r="F734" i="4"/>
  <c r="A734" i="4"/>
  <c r="G350" i="4"/>
  <c r="F350" i="4"/>
  <c r="A350" i="4"/>
  <c r="G328" i="4"/>
  <c r="F328" i="4"/>
  <c r="A328" i="4"/>
  <c r="G1051" i="4"/>
  <c r="F1051" i="4"/>
  <c r="A1051" i="4"/>
  <c r="G997" i="4"/>
  <c r="F997" i="4"/>
  <c r="A997" i="4"/>
  <c r="G82" i="4"/>
  <c r="F82" i="4"/>
  <c r="A82" i="4"/>
  <c r="G797" i="4"/>
  <c r="F797" i="4"/>
  <c r="C797" i="4"/>
  <c r="A797" i="4"/>
  <c r="G1294" i="4"/>
  <c r="F1294" i="4"/>
  <c r="A1294" i="4"/>
  <c r="G115" i="4"/>
  <c r="F115" i="4"/>
  <c r="C115" i="4"/>
  <c r="A115" i="4"/>
  <c r="G732" i="4"/>
  <c r="F732" i="4"/>
  <c r="A732" i="4"/>
  <c r="G141" i="4"/>
  <c r="F141" i="4"/>
  <c r="A141" i="4"/>
  <c r="G382" i="4"/>
  <c r="F382" i="4"/>
  <c r="A382" i="4"/>
  <c r="G633" i="4"/>
  <c r="F633" i="4"/>
  <c r="A633" i="4"/>
  <c r="G119" i="4"/>
  <c r="F119" i="4"/>
  <c r="A119" i="4"/>
  <c r="G881" i="4"/>
  <c r="F881" i="4"/>
  <c r="C881" i="4"/>
  <c r="A881" i="4"/>
  <c r="G42" i="4"/>
  <c r="F42" i="4"/>
  <c r="A42" i="4"/>
  <c r="G915" i="4"/>
  <c r="F915" i="4"/>
  <c r="A915" i="4"/>
  <c r="G646" i="4"/>
  <c r="F646" i="4"/>
  <c r="A646" i="4"/>
  <c r="G906" i="4"/>
  <c r="F906" i="4"/>
  <c r="C906" i="4"/>
  <c r="A906" i="4"/>
  <c r="G1247" i="4"/>
  <c r="F1247" i="4"/>
  <c r="A1247" i="4"/>
  <c r="G452" i="4"/>
  <c r="F452" i="4"/>
  <c r="C452" i="4"/>
  <c r="A452" i="4"/>
  <c r="G767" i="4"/>
  <c r="F767" i="4"/>
  <c r="A767" i="4"/>
  <c r="G722" i="4"/>
  <c r="F722" i="4"/>
  <c r="A722" i="4"/>
  <c r="G1307" i="4"/>
  <c r="F1307" i="4"/>
  <c r="A1307" i="4"/>
  <c r="F1157" i="4"/>
  <c r="C1157" i="4"/>
  <c r="A1157" i="4"/>
  <c r="G330" i="4"/>
  <c r="F330" i="4"/>
  <c r="A330" i="4"/>
  <c r="G486" i="4"/>
  <c r="F486" i="4"/>
  <c r="A486" i="4"/>
  <c r="G485" i="4"/>
  <c r="F485" i="4"/>
  <c r="A485" i="4"/>
  <c r="G575" i="4"/>
  <c r="F575" i="4"/>
  <c r="A575" i="4"/>
  <c r="G310" i="4"/>
  <c r="F310" i="4"/>
  <c r="A310" i="4"/>
  <c r="G471" i="4"/>
  <c r="F471" i="4"/>
  <c r="A471" i="4"/>
  <c r="G128" i="4"/>
  <c r="F128" i="4"/>
  <c r="A128" i="4"/>
  <c r="G778" i="4"/>
  <c r="F778" i="4"/>
  <c r="A778" i="4"/>
  <c r="G91" i="4"/>
  <c r="F91" i="4"/>
  <c r="C91" i="4"/>
  <c r="A91" i="4"/>
  <c r="G655" i="4"/>
  <c r="F655" i="4"/>
  <c r="A655" i="4"/>
  <c r="G1250" i="4"/>
  <c r="F1250" i="4"/>
  <c r="C1250" i="4"/>
  <c r="A1250" i="4"/>
  <c r="G429" i="4"/>
  <c r="F429" i="4"/>
  <c r="A429" i="4"/>
  <c r="G469" i="4"/>
  <c r="F469" i="4"/>
  <c r="A469" i="4"/>
  <c r="G292" i="4"/>
  <c r="F292" i="4"/>
  <c r="A292" i="4"/>
  <c r="G1194" i="4"/>
  <c r="F1194" i="4"/>
  <c r="A1194" i="4"/>
  <c r="G96" i="4"/>
  <c r="F96" i="4"/>
  <c r="A96" i="4"/>
  <c r="G897" i="4"/>
  <c r="F897" i="4"/>
  <c r="A897" i="4"/>
  <c r="G145" i="4"/>
  <c r="F145" i="4"/>
  <c r="C145" i="4"/>
  <c r="A145" i="4"/>
  <c r="G1288" i="4"/>
  <c r="F1288" i="4"/>
  <c r="A1288" i="4"/>
  <c r="F776" i="4"/>
  <c r="C776" i="4"/>
  <c r="A776" i="4"/>
  <c r="G1311" i="4"/>
  <c r="F1311" i="4"/>
  <c r="A1311" i="4"/>
  <c r="G1121" i="4"/>
  <c r="F1121" i="4"/>
  <c r="A1121" i="4"/>
  <c r="G1092" i="4"/>
  <c r="F1092" i="4"/>
  <c r="A1092" i="4"/>
  <c r="G60" i="4"/>
  <c r="F60" i="4"/>
  <c r="C60" i="4"/>
  <c r="A60" i="4"/>
  <c r="G1006" i="4"/>
  <c r="F1006" i="4"/>
  <c r="A1006" i="4"/>
  <c r="G1027" i="4"/>
  <c r="F1027" i="4"/>
  <c r="A1027" i="4"/>
  <c r="G1053" i="4"/>
  <c r="F1053" i="4"/>
  <c r="A1053" i="4"/>
  <c r="G696" i="4"/>
  <c r="F696" i="4"/>
  <c r="A696" i="4"/>
  <c r="G396" i="4"/>
  <c r="F396" i="4"/>
  <c r="A396" i="4"/>
  <c r="G414" i="4"/>
  <c r="F414" i="4"/>
  <c r="A414" i="4"/>
  <c r="G185" i="4"/>
  <c r="F185" i="4"/>
  <c r="C185" i="4"/>
  <c r="A185" i="4"/>
  <c r="G412" i="4"/>
  <c r="F412" i="4"/>
  <c r="A412" i="4"/>
  <c r="G1041" i="4"/>
  <c r="F1041" i="4"/>
  <c r="A1041" i="4"/>
  <c r="G1132" i="4"/>
  <c r="F1132" i="4"/>
  <c r="A1132" i="4"/>
  <c r="G840" i="4"/>
  <c r="F840" i="4"/>
  <c r="A840" i="4"/>
  <c r="G311" i="4"/>
  <c r="F311" i="4"/>
  <c r="A311" i="4"/>
  <c r="G168" i="4"/>
  <c r="F168" i="4"/>
  <c r="A168" i="4"/>
  <c r="G454" i="4"/>
  <c r="F454" i="4"/>
  <c r="A454" i="4"/>
  <c r="G710" i="4"/>
  <c r="F710" i="4"/>
  <c r="A710" i="4"/>
  <c r="G894" i="4"/>
  <c r="F894" i="4"/>
  <c r="A894" i="4"/>
  <c r="G285" i="4"/>
  <c r="F285" i="4"/>
  <c r="A285" i="4"/>
  <c r="G1355" i="4"/>
  <c r="F1355" i="4"/>
  <c r="C1355" i="4"/>
  <c r="A1355" i="4"/>
  <c r="G56" i="4"/>
  <c r="F56" i="4"/>
  <c r="A56" i="4"/>
  <c r="G995" i="4"/>
  <c r="F995" i="4"/>
  <c r="A995" i="4"/>
  <c r="G507" i="4"/>
  <c r="F507" i="4"/>
  <c r="A507" i="4"/>
  <c r="G1308" i="4"/>
  <c r="F1308" i="4"/>
  <c r="A1308" i="4"/>
  <c r="G699" i="4"/>
  <c r="F699" i="4"/>
  <c r="A699" i="4"/>
  <c r="G709" i="4"/>
  <c r="F709" i="4"/>
  <c r="C709" i="4"/>
  <c r="A709" i="4"/>
  <c r="G1205" i="4"/>
  <c r="F1205" i="4"/>
  <c r="A1205" i="4"/>
  <c r="G3" i="4"/>
  <c r="F3" i="4"/>
  <c r="B3" i="4"/>
  <c r="A3" i="4"/>
  <c r="G490" i="4"/>
  <c r="F490" i="4"/>
  <c r="A490" i="4"/>
  <c r="G861" i="4"/>
  <c r="F861" i="4"/>
  <c r="A861" i="4"/>
  <c r="G555" i="4"/>
  <c r="F555" i="4"/>
  <c r="C555" i="4"/>
  <c r="A555" i="4"/>
  <c r="G131" i="4"/>
  <c r="F131" i="4"/>
  <c r="A131" i="4"/>
  <c r="G364" i="4"/>
  <c r="F364" i="4"/>
  <c r="C364" i="4"/>
  <c r="A364" i="4"/>
  <c r="G517" i="4"/>
  <c r="F517" i="4"/>
  <c r="A517" i="4"/>
  <c r="G34" i="4"/>
  <c r="F34" i="4"/>
  <c r="C34" i="4"/>
  <c r="A34" i="4"/>
  <c r="G711" i="4"/>
  <c r="F711" i="4"/>
  <c r="C711" i="4"/>
  <c r="A711" i="4"/>
  <c r="G239" i="4"/>
  <c r="F239" i="4"/>
  <c r="C239" i="4"/>
  <c r="A239" i="4"/>
  <c r="G336" i="4"/>
  <c r="F336" i="4"/>
  <c r="A336" i="4"/>
  <c r="G135" i="4"/>
  <c r="F135" i="4"/>
  <c r="C135" i="4"/>
  <c r="A135" i="4"/>
  <c r="G435" i="4"/>
  <c r="F435" i="4"/>
  <c r="A435" i="4"/>
  <c r="G1256" i="4"/>
  <c r="F1256" i="4"/>
  <c r="A1256" i="4"/>
  <c r="G134" i="4"/>
  <c r="F134" i="4"/>
  <c r="A134" i="4"/>
  <c r="G615" i="4"/>
  <c r="F615" i="4"/>
  <c r="A615" i="4"/>
  <c r="G472" i="4"/>
  <c r="F472" i="4"/>
  <c r="A472" i="4"/>
  <c r="H293" i="4"/>
  <c r="G293" i="4"/>
  <c r="F293" i="4"/>
  <c r="A293" i="4"/>
  <c r="A889" i="4"/>
  <c r="G415" i="4"/>
  <c r="F415" i="4"/>
  <c r="A415" i="4"/>
  <c r="G540" i="4"/>
  <c r="F540" i="4"/>
  <c r="A540" i="4"/>
  <c r="G500" i="4"/>
  <c r="F500" i="4"/>
  <c r="A500" i="4"/>
  <c r="G637" i="4"/>
  <c r="F637" i="4"/>
  <c r="A637" i="4"/>
  <c r="G1253" i="4"/>
  <c r="F1253" i="4"/>
  <c r="A1253" i="4"/>
  <c r="G785" i="4"/>
  <c r="F785" i="4"/>
  <c r="A785" i="4"/>
  <c r="G914" i="4"/>
  <c r="F914" i="4"/>
  <c r="A914" i="4"/>
  <c r="G425" i="4"/>
  <c r="F425" i="4"/>
  <c r="A425" i="4"/>
  <c r="G1096" i="4"/>
  <c r="F1096" i="4"/>
  <c r="A1096" i="4"/>
  <c r="G1005" i="4"/>
  <c r="F1005" i="4"/>
  <c r="C1005" i="4"/>
  <c r="A1005" i="4"/>
  <c r="G372" i="4"/>
  <c r="F372" i="4"/>
  <c r="A372" i="4"/>
  <c r="G868" i="4"/>
  <c r="F868" i="4"/>
  <c r="A868" i="4"/>
  <c r="G1267" i="4"/>
  <c r="F1267" i="4"/>
  <c r="C1267" i="4"/>
  <c r="A1267" i="4"/>
  <c r="G420" i="4"/>
  <c r="F420" i="4"/>
  <c r="A420" i="4"/>
  <c r="G549" i="4"/>
  <c r="F549" i="4"/>
  <c r="A549" i="4"/>
  <c r="G585" i="4"/>
  <c r="F585" i="4"/>
  <c r="A585" i="4"/>
  <c r="G729" i="4"/>
  <c r="F729" i="4"/>
  <c r="C729" i="4"/>
  <c r="A729" i="4"/>
  <c r="G371" i="4"/>
  <c r="F371" i="4"/>
  <c r="A371" i="4"/>
  <c r="G1337" i="4"/>
  <c r="F1337" i="4"/>
  <c r="A1337" i="4"/>
  <c r="G901" i="4"/>
  <c r="F901" i="4"/>
  <c r="C901" i="4"/>
  <c r="A901" i="4"/>
  <c r="G44" i="4"/>
  <c r="F44" i="4"/>
  <c r="A44" i="4"/>
  <c r="G379" i="4"/>
  <c r="F379" i="4"/>
  <c r="A379" i="4"/>
  <c r="G712" i="4"/>
  <c r="F712" i="4"/>
  <c r="A712" i="4"/>
  <c r="G1088" i="4"/>
  <c r="F1088" i="4"/>
  <c r="A1088" i="4"/>
  <c r="G1300" i="4"/>
  <c r="F1300" i="4"/>
  <c r="A1300" i="4"/>
  <c r="G766" i="4"/>
  <c r="F766" i="4"/>
  <c r="A766" i="4"/>
  <c r="G340" i="4"/>
  <c r="F340" i="4"/>
  <c r="C340" i="4"/>
  <c r="A340" i="4"/>
  <c r="G1083" i="4"/>
  <c r="F1083" i="4"/>
  <c r="A1083" i="4"/>
  <c r="G796" i="4"/>
  <c r="F796" i="4"/>
  <c r="A796" i="4"/>
  <c r="G261" i="4"/>
  <c r="F261" i="4"/>
  <c r="C261" i="4"/>
  <c r="A261" i="4"/>
  <c r="G193" i="4"/>
  <c r="F193" i="4"/>
  <c r="A193" i="4"/>
  <c r="G498" i="4"/>
  <c r="F498" i="4"/>
  <c r="A498" i="4"/>
  <c r="G234" i="4"/>
  <c r="F234" i="4"/>
  <c r="A234" i="4"/>
  <c r="G1167" i="4"/>
  <c r="F1167" i="4"/>
  <c r="C1167" i="4"/>
  <c r="A1167" i="4"/>
  <c r="G959" i="4"/>
  <c r="F959" i="4"/>
  <c r="A959" i="4"/>
  <c r="G1075" i="4"/>
  <c r="F1075" i="4"/>
  <c r="C1075" i="4"/>
  <c r="A1075" i="4"/>
  <c r="G1038" i="4"/>
  <c r="F1038" i="4"/>
  <c r="A1038" i="4"/>
  <c r="G779" i="4"/>
  <c r="F779" i="4"/>
  <c r="A779" i="4"/>
  <c r="G1008" i="4"/>
  <c r="F1008" i="4"/>
  <c r="C1008" i="4"/>
  <c r="A1008" i="4"/>
  <c r="G956" i="4"/>
  <c r="F956" i="4"/>
  <c r="A956" i="4"/>
  <c r="G531" i="4"/>
  <c r="F531" i="4"/>
  <c r="A531" i="4"/>
  <c r="G1111" i="4"/>
  <c r="F1111" i="4"/>
  <c r="A1111" i="4"/>
  <c r="G1022" i="4"/>
  <c r="F1022" i="4"/>
  <c r="A1022" i="4"/>
  <c r="G259" i="4"/>
  <c r="F259" i="4"/>
  <c r="A259" i="4"/>
  <c r="G578" i="4"/>
  <c r="F578" i="4"/>
  <c r="A578" i="4"/>
  <c r="G903" i="4"/>
  <c r="F903" i="4"/>
  <c r="A903" i="4"/>
  <c r="G1037" i="4"/>
  <c r="F1037" i="4"/>
  <c r="A1037" i="4"/>
  <c r="G132" i="4"/>
  <c r="F132" i="4"/>
  <c r="A132" i="4"/>
  <c r="G1023" i="4"/>
  <c r="F1023" i="4"/>
  <c r="C1023" i="4"/>
  <c r="A1023" i="4"/>
  <c r="G925" i="4"/>
  <c r="F925" i="4"/>
  <c r="A925" i="4"/>
  <c r="G74" i="4"/>
  <c r="F74" i="4"/>
  <c r="A74" i="4"/>
  <c r="G622" i="4"/>
  <c r="F622" i="4"/>
  <c r="A622" i="4"/>
  <c r="G1054" i="4"/>
  <c r="F1054" i="4"/>
  <c r="A1054" i="4"/>
  <c r="G184" i="4"/>
  <c r="F184" i="4"/>
  <c r="A184" i="4"/>
  <c r="G561" i="4"/>
  <c r="F561" i="4"/>
  <c r="A561" i="4"/>
  <c r="F1115" i="4"/>
  <c r="C1115" i="4"/>
  <c r="A1115" i="4"/>
  <c r="G844" i="4"/>
  <c r="F844" i="4"/>
  <c r="A844" i="4"/>
  <c r="G1231" i="4"/>
  <c r="F1231" i="4"/>
  <c r="A1231" i="4"/>
  <c r="G1072" i="4"/>
  <c r="F1072" i="4"/>
  <c r="C1072" i="4"/>
  <c r="A1072" i="4"/>
  <c r="G1179" i="4"/>
  <c r="F1179" i="4"/>
  <c r="C1179" i="4"/>
  <c r="A1179" i="4"/>
  <c r="G1168" i="4"/>
  <c r="F1168" i="4"/>
  <c r="C1168" i="4"/>
  <c r="A1168" i="4"/>
  <c r="G835" i="4"/>
  <c r="F835" i="4"/>
  <c r="C835" i="4"/>
  <c r="A835" i="4"/>
  <c r="G673" i="4"/>
  <c r="F673" i="4"/>
  <c r="A673" i="4"/>
  <c r="G955" i="4"/>
  <c r="F955" i="4"/>
  <c r="A955" i="4"/>
  <c r="G79" i="4"/>
  <c r="F79" i="4"/>
  <c r="A79" i="4"/>
  <c r="G804" i="4"/>
  <c r="F804" i="4"/>
  <c r="A804" i="4"/>
  <c r="G774" i="4"/>
  <c r="F774" i="4"/>
  <c r="A774" i="4"/>
  <c r="G301" i="4"/>
  <c r="F301" i="4"/>
  <c r="A301" i="4"/>
  <c r="G550" i="4"/>
  <c r="F550" i="4"/>
  <c r="A550" i="4"/>
  <c r="G404" i="4"/>
  <c r="F404" i="4"/>
  <c r="A404" i="4"/>
  <c r="G974" i="4"/>
  <c r="F974" i="4"/>
  <c r="A974" i="4"/>
  <c r="G584" i="4"/>
  <c r="F584" i="4"/>
  <c r="A584" i="4"/>
  <c r="G803" i="4"/>
  <c r="F803" i="4"/>
  <c r="C803" i="4"/>
  <c r="A803" i="4"/>
  <c r="G911" i="4"/>
  <c r="F911" i="4"/>
  <c r="A911" i="4"/>
  <c r="G927" i="4"/>
  <c r="F927" i="4"/>
  <c r="C927" i="4"/>
  <c r="A927" i="4"/>
  <c r="G148" i="4"/>
  <c r="F148" i="4"/>
  <c r="C148" i="4"/>
  <c r="A148" i="4"/>
  <c r="G624" i="4"/>
  <c r="F624" i="4"/>
  <c r="A624" i="4"/>
  <c r="G1236" i="4"/>
  <c r="F1236" i="4"/>
  <c r="A1236" i="4"/>
  <c r="G11" i="4"/>
  <c r="F11" i="4"/>
  <c r="C11" i="4"/>
  <c r="A11" i="4"/>
  <c r="F510" i="4"/>
  <c r="A510" i="4"/>
  <c r="G938" i="4"/>
  <c r="F938" i="4"/>
  <c r="A938" i="4"/>
  <c r="G521" i="4"/>
  <c r="F521" i="4"/>
  <c r="A521" i="4"/>
  <c r="G519" i="4"/>
  <c r="F519" i="4"/>
  <c r="A519" i="4"/>
  <c r="G924" i="4"/>
  <c r="F924" i="4"/>
  <c r="A924" i="4"/>
  <c r="G623" i="4"/>
  <c r="F623" i="4"/>
  <c r="A623" i="4"/>
  <c r="G509" i="4"/>
  <c r="F509" i="4"/>
  <c r="C509" i="4"/>
  <c r="A509" i="4"/>
  <c r="G1028" i="4"/>
  <c r="F1028" i="4"/>
  <c r="C1028" i="4"/>
  <c r="A1028" i="4"/>
  <c r="G14" i="4"/>
  <c r="F14" i="4"/>
  <c r="C14" i="4"/>
  <c r="A14" i="4"/>
  <c r="G473" i="4"/>
  <c r="F473" i="4"/>
  <c r="A473" i="4"/>
  <c r="G35" i="4"/>
  <c r="F35" i="4"/>
  <c r="A35" i="4"/>
  <c r="G573" i="4"/>
  <c r="F573" i="4"/>
  <c r="C573" i="4"/>
  <c r="A573" i="4"/>
  <c r="G1187" i="4"/>
  <c r="F1187" i="4"/>
  <c r="A1187" i="4"/>
  <c r="G12" i="4"/>
  <c r="F12" i="4"/>
  <c r="C12" i="4"/>
  <c r="A12" i="4"/>
  <c r="G1268" i="4"/>
  <c r="F1268" i="4"/>
  <c r="C1268" i="4"/>
  <c r="A1268" i="4"/>
  <c r="G305" i="4"/>
  <c r="F305" i="4"/>
  <c r="A305" i="4"/>
  <c r="G1011" i="4"/>
  <c r="F1011" i="4"/>
  <c r="A1011" i="4"/>
  <c r="G260" i="4"/>
  <c r="F260" i="4"/>
  <c r="A260" i="4"/>
  <c r="G299" i="4"/>
  <c r="F299" i="4"/>
  <c r="A299" i="4"/>
  <c r="G719" i="4"/>
  <c r="F719" i="4"/>
  <c r="A719" i="4"/>
  <c r="G898" i="4"/>
  <c r="F898" i="4"/>
  <c r="C898" i="4"/>
  <c r="A898" i="4"/>
  <c r="G493" i="4"/>
  <c r="F493" i="4"/>
  <c r="A493" i="4"/>
  <c r="G626" i="4"/>
  <c r="F626" i="4"/>
  <c r="A626" i="4"/>
  <c r="G381" i="4"/>
  <c r="F381" i="4"/>
  <c r="A381" i="4"/>
  <c r="G111" i="4"/>
  <c r="F111" i="4"/>
  <c r="A111" i="4"/>
  <c r="G1134" i="4"/>
  <c r="F1134" i="4"/>
  <c r="A1134" i="4"/>
  <c r="G1056" i="4"/>
  <c r="F1056" i="4"/>
  <c r="A1056" i="4"/>
  <c r="G783" i="4"/>
  <c r="F783" i="4"/>
  <c r="A783" i="4"/>
  <c r="G998" i="4"/>
  <c r="F998" i="4"/>
  <c r="A998" i="4"/>
  <c r="G986" i="4"/>
  <c r="F986" i="4"/>
  <c r="A986" i="4"/>
  <c r="G627" i="4"/>
  <c r="F627" i="4"/>
  <c r="C627" i="4"/>
  <c r="A627" i="4"/>
  <c r="G770" i="4"/>
  <c r="F770" i="4"/>
  <c r="A770" i="4"/>
  <c r="G1206" i="4"/>
  <c r="F1206" i="4"/>
  <c r="A1206" i="4"/>
  <c r="G85" i="4"/>
  <c r="F85" i="4"/>
  <c r="A85" i="4"/>
  <c r="G750" i="4"/>
  <c r="F750" i="4"/>
  <c r="A750" i="4"/>
  <c r="G169" i="4"/>
  <c r="F169" i="4"/>
  <c r="A169" i="4"/>
  <c r="G747" i="4"/>
  <c r="F747" i="4"/>
  <c r="C747" i="4"/>
  <c r="A747" i="4"/>
  <c r="G476" i="4"/>
  <c r="F476" i="4"/>
  <c r="C476" i="4"/>
  <c r="A476" i="4"/>
  <c r="G1050" i="4"/>
  <c r="F1050" i="4"/>
  <c r="C1050" i="4"/>
  <c r="A1050" i="4"/>
  <c r="G1202" i="4"/>
  <c r="F1202" i="4"/>
  <c r="A1202" i="4"/>
  <c r="G989" i="4"/>
  <c r="F989" i="4"/>
  <c r="C989" i="4"/>
  <c r="A989" i="4"/>
  <c r="G564" i="4"/>
  <c r="F564" i="4"/>
  <c r="C564" i="4"/>
  <c r="A564" i="4"/>
  <c r="G882" i="4"/>
  <c r="F882" i="4"/>
  <c r="A882" i="4"/>
  <c r="G175" i="4"/>
  <c r="F175" i="4"/>
  <c r="A175" i="4"/>
  <c r="G19" i="4"/>
  <c r="F19" i="4"/>
  <c r="A19" i="4"/>
  <c r="G54" i="4"/>
  <c r="F54" i="4"/>
  <c r="A54" i="4"/>
  <c r="G565" i="4"/>
  <c r="F565" i="4"/>
  <c r="C565" i="4"/>
  <c r="A565" i="4"/>
  <c r="G1162" i="4"/>
  <c r="F1162" i="4"/>
  <c r="A1162" i="4"/>
  <c r="G1251" i="4"/>
  <c r="F1251" i="4"/>
  <c r="C1251" i="4"/>
  <c r="A1251" i="4"/>
  <c r="G643" i="4"/>
  <c r="F643" i="4"/>
  <c r="A643" i="4"/>
  <c r="G270" i="4"/>
  <c r="F270" i="4"/>
  <c r="A270" i="4"/>
  <c r="G1032" i="4"/>
  <c r="F1032" i="4"/>
  <c r="A1032" i="4"/>
  <c r="G562" i="4"/>
  <c r="F562" i="4"/>
  <c r="A562" i="4"/>
  <c r="G173" i="4"/>
  <c r="F173" i="4"/>
  <c r="C173" i="4"/>
  <c r="A173" i="4"/>
  <c r="G166" i="4"/>
  <c r="F166" i="4"/>
  <c r="A166" i="4"/>
  <c r="G36" i="4"/>
  <c r="F36" i="4"/>
  <c r="A36" i="4"/>
  <c r="G1133" i="4"/>
  <c r="F1133" i="4"/>
  <c r="A1133" i="4"/>
  <c r="G52" i="4"/>
  <c r="F52" i="4"/>
  <c r="A52" i="4"/>
  <c r="G1071" i="4"/>
  <c r="F1071" i="4"/>
  <c r="A1071" i="4"/>
  <c r="G816" i="4"/>
  <c r="F816" i="4"/>
  <c r="C816" i="4"/>
  <c r="A816" i="4"/>
  <c r="G268" i="4"/>
  <c r="F268" i="4"/>
  <c r="A268" i="4"/>
  <c r="G969" i="4"/>
  <c r="F969" i="4"/>
  <c r="A969" i="4"/>
  <c r="G1325" i="4"/>
  <c r="F1325" i="4"/>
  <c r="A1325" i="4"/>
  <c r="G880" i="4"/>
  <c r="F880" i="4"/>
  <c r="C880" i="4"/>
  <c r="A880" i="4"/>
  <c r="G501" i="4"/>
  <c r="F501" i="4"/>
  <c r="A501" i="4"/>
  <c r="G32" i="4"/>
  <c r="F32" i="4"/>
  <c r="C32" i="4"/>
  <c r="A32" i="4"/>
  <c r="G508" i="4"/>
  <c r="F508" i="4"/>
  <c r="A508" i="4"/>
  <c r="G369" i="4"/>
  <c r="F369" i="4"/>
  <c r="A369" i="4"/>
  <c r="G612" i="4"/>
  <c r="F612" i="4"/>
  <c r="A612" i="4"/>
  <c r="G1348" i="4"/>
  <c r="F1348" i="4"/>
  <c r="C1348" i="4"/>
  <c r="A1348" i="4"/>
  <c r="G104" i="4"/>
  <c r="F104" i="4"/>
  <c r="C104" i="4"/>
  <c r="A104" i="4"/>
  <c r="G583" i="4"/>
  <c r="F583" i="4"/>
  <c r="A583" i="4"/>
  <c r="G1317" i="4"/>
  <c r="F1317" i="4"/>
  <c r="A1317" i="4"/>
  <c r="G617" i="4"/>
  <c r="F617" i="4"/>
  <c r="A617" i="4"/>
  <c r="G286" i="4"/>
  <c r="F286" i="4"/>
  <c r="A286" i="4"/>
  <c r="G1280" i="4"/>
  <c r="F1280" i="4"/>
  <c r="C1280" i="4"/>
  <c r="A1280" i="4"/>
  <c r="G1081" i="4"/>
  <c r="F1081" i="4"/>
  <c r="A1081" i="4"/>
  <c r="G1257" i="4"/>
  <c r="F1257" i="4"/>
  <c r="A1257" i="4"/>
  <c r="G1013" i="4"/>
  <c r="F1013" i="4"/>
  <c r="C1013" i="4"/>
  <c r="A1013" i="4"/>
  <c r="G95" i="4"/>
  <c r="F95" i="4"/>
  <c r="A95" i="4"/>
  <c r="G277" i="4"/>
  <c r="F277" i="4"/>
  <c r="A277" i="4"/>
  <c r="G308" i="4"/>
  <c r="F308" i="4"/>
  <c r="A308" i="4"/>
  <c r="G41" i="4"/>
  <c r="F41" i="4"/>
  <c r="A41" i="4"/>
  <c r="G59" i="4"/>
  <c r="F59" i="4"/>
  <c r="C59" i="4"/>
  <c r="A59" i="4"/>
  <c r="G1031" i="4"/>
  <c r="F1031" i="4"/>
  <c r="A1031" i="4"/>
  <c r="G1197" i="4"/>
  <c r="F1197" i="4"/>
  <c r="A1197" i="4"/>
  <c r="G794" i="4"/>
  <c r="F794" i="4"/>
  <c r="A794" i="4"/>
  <c r="G886" i="4"/>
  <c r="F886" i="4"/>
  <c r="A886" i="4"/>
  <c r="G9" i="4"/>
  <c r="F9" i="4"/>
  <c r="C9" i="4"/>
  <c r="A9" i="4"/>
  <c r="G1207" i="4"/>
  <c r="F1207" i="4"/>
  <c r="A1207" i="4"/>
  <c r="G602" i="4"/>
  <c r="F602" i="4"/>
  <c r="A602" i="4"/>
  <c r="G892" i="4"/>
  <c r="F892" i="4"/>
  <c r="C892" i="4"/>
  <c r="A892" i="4"/>
  <c r="G271" i="4"/>
  <c r="F271" i="4"/>
  <c r="A271" i="4"/>
  <c r="G1233" i="4"/>
  <c r="F1233" i="4"/>
  <c r="A1233" i="4"/>
  <c r="G885" i="4"/>
  <c r="F885" i="4"/>
  <c r="A885" i="4"/>
  <c r="G353" i="4"/>
  <c r="F353" i="4"/>
  <c r="A353" i="4"/>
  <c r="G453" i="4"/>
  <c r="F453" i="4"/>
  <c r="A453" i="4"/>
  <c r="G991" i="4"/>
  <c r="F991" i="4"/>
  <c r="C991" i="4"/>
  <c r="A991" i="4"/>
  <c r="G182" i="4"/>
  <c r="F182" i="4"/>
  <c r="C182" i="4"/>
  <c r="A182" i="4"/>
  <c r="G967" i="4"/>
  <c r="F967" i="4"/>
  <c r="A967" i="4"/>
  <c r="G960" i="4"/>
  <c r="F960" i="4"/>
  <c r="C960" i="4"/>
  <c r="A960" i="4"/>
  <c r="G93" i="4"/>
  <c r="F93" i="4"/>
  <c r="A93" i="4"/>
  <c r="G1328" i="4"/>
  <c r="F1328" i="4"/>
  <c r="C1328" i="4"/>
  <c r="A1328" i="4"/>
  <c r="G1058" i="4"/>
  <c r="F1058" i="4"/>
  <c r="A1058" i="4"/>
  <c r="G674" i="4"/>
  <c r="F674" i="4"/>
  <c r="C674" i="4"/>
  <c r="A674" i="4"/>
  <c r="G518" i="4"/>
  <c r="F518" i="4"/>
  <c r="A518" i="4"/>
  <c r="G913" i="4"/>
  <c r="F913" i="4"/>
  <c r="C913" i="4"/>
  <c r="A913" i="4"/>
  <c r="G481" i="4"/>
  <c r="F481" i="4"/>
  <c r="C481" i="4"/>
  <c r="A481" i="4"/>
  <c r="G416" i="4"/>
  <c r="F416" i="4"/>
  <c r="A416" i="4"/>
  <c r="G411" i="4"/>
  <c r="F411" i="4"/>
  <c r="A411" i="4"/>
  <c r="G1175" i="4"/>
  <c r="F1175" i="4"/>
  <c r="A1175" i="4"/>
  <c r="G762" i="4"/>
  <c r="F762" i="4"/>
  <c r="A762" i="4"/>
  <c r="G647" i="4"/>
  <c r="F647" i="4"/>
  <c r="C647" i="4"/>
  <c r="A647" i="4"/>
  <c r="G768" i="4"/>
  <c r="F768" i="4"/>
  <c r="A768" i="4"/>
  <c r="G1164" i="4"/>
  <c r="F1164" i="4"/>
  <c r="A1164" i="4"/>
  <c r="G661" i="4"/>
  <c r="F661" i="4"/>
  <c r="C661" i="4"/>
  <c r="A661" i="4"/>
  <c r="G662" i="4"/>
  <c r="F662" i="4"/>
  <c r="A662" i="4"/>
  <c r="G587" i="4"/>
  <c r="F587" i="4"/>
  <c r="A587" i="4"/>
  <c r="G582" i="4"/>
  <c r="C582" i="4"/>
  <c r="A582" i="4"/>
  <c r="G1120" i="4"/>
  <c r="F1120" i="4"/>
  <c r="A1120" i="4"/>
  <c r="G50" i="4"/>
  <c r="F50" i="4"/>
  <c r="A50" i="4"/>
  <c r="G1176" i="4"/>
  <c r="F1176" i="4"/>
  <c r="A1176" i="4"/>
  <c r="G543" i="4"/>
  <c r="F543" i="4"/>
  <c r="A543" i="4"/>
  <c r="G1091" i="4"/>
  <c r="F1091" i="4"/>
  <c r="C1091" i="4"/>
  <c r="A1091" i="4"/>
  <c r="G1060" i="4"/>
  <c r="F1060" i="4"/>
  <c r="A1060" i="4"/>
  <c r="G1114" i="4"/>
  <c r="F1114" i="4"/>
  <c r="C1114" i="4"/>
  <c r="A1114" i="4"/>
  <c r="G1001" i="4"/>
  <c r="F1001" i="4"/>
  <c r="A1001" i="4"/>
  <c r="G859" i="4"/>
  <c r="F859" i="4"/>
  <c r="C859" i="4"/>
  <c r="A859" i="4"/>
  <c r="G799" i="4"/>
  <c r="F799" i="4"/>
  <c r="A799" i="4"/>
  <c r="G628" i="4"/>
  <c r="F628" i="4"/>
  <c r="A628" i="4"/>
  <c r="G1145" i="4"/>
  <c r="F1145" i="4"/>
  <c r="C1145" i="4"/>
  <c r="A1145" i="4"/>
  <c r="G806" i="4"/>
  <c r="F806" i="4"/>
  <c r="A806" i="4"/>
  <c r="G812" i="4"/>
  <c r="F812" i="4"/>
  <c r="A812" i="4"/>
  <c r="G1061" i="4"/>
  <c r="F1061" i="4"/>
  <c r="A1061" i="4"/>
  <c r="G618" i="4"/>
  <c r="F618" i="4"/>
  <c r="A618" i="4"/>
  <c r="G348" i="4"/>
  <c r="F348" i="4"/>
  <c r="A348" i="4"/>
  <c r="G1080" i="4"/>
  <c r="F1080" i="4"/>
  <c r="A1080" i="4"/>
  <c r="G1289" i="4"/>
  <c r="F1289" i="4"/>
  <c r="C1289" i="4"/>
  <c r="A1289" i="4"/>
  <c r="G671" i="4"/>
  <c r="F671" i="4"/>
  <c r="A671" i="4"/>
  <c r="G953" i="4"/>
  <c r="F953" i="4"/>
  <c r="A953" i="4"/>
  <c r="G1076" i="4"/>
  <c r="F1076" i="4"/>
  <c r="A1076" i="4"/>
  <c r="G410" i="4"/>
  <c r="F410" i="4"/>
  <c r="A410" i="4"/>
  <c r="G1228" i="4"/>
  <c r="F1228" i="4"/>
  <c r="A1228" i="4"/>
  <c r="G398" i="4"/>
  <c r="F398" i="4"/>
  <c r="A398" i="4"/>
  <c r="G108" i="4"/>
  <c r="F108" i="4"/>
  <c r="A108" i="4"/>
  <c r="G1185" i="4"/>
  <c r="F1185" i="4"/>
  <c r="C1185" i="4"/>
  <c r="A1185" i="4"/>
  <c r="G1125" i="4"/>
  <c r="F1125" i="4"/>
  <c r="A1125" i="4"/>
  <c r="G825" i="4"/>
  <c r="F825" i="4"/>
  <c r="C825" i="4"/>
  <c r="A825" i="4"/>
  <c r="G805" i="4"/>
  <c r="F805" i="4"/>
  <c r="A805" i="4"/>
  <c r="G504" i="4"/>
  <c r="F504" i="4"/>
  <c r="C504" i="4"/>
  <c r="A504" i="4"/>
  <c r="G1113" i="4"/>
  <c r="F1113" i="4"/>
  <c r="C1113" i="4"/>
  <c r="A1113" i="4"/>
  <c r="G607" i="4"/>
  <c r="F607" i="4"/>
  <c r="C607" i="4"/>
  <c r="A607" i="4"/>
  <c r="G726" i="4"/>
  <c r="F726" i="4"/>
  <c r="A726" i="4"/>
  <c r="G596" i="4"/>
  <c r="F596" i="4"/>
  <c r="A596" i="4"/>
  <c r="G37" i="4"/>
  <c r="F37" i="4"/>
  <c r="C37" i="4"/>
  <c r="A37" i="4"/>
  <c r="F38" i="4"/>
  <c r="E38" i="4"/>
  <c r="D38" i="4"/>
  <c r="C38" i="4"/>
  <c r="A38" i="4"/>
  <c r="G1295" i="4"/>
  <c r="F1295" i="4"/>
  <c r="A1295" i="4"/>
  <c r="G593" i="4"/>
  <c r="F593" i="4"/>
  <c r="C593" i="4"/>
  <c r="A593" i="4"/>
  <c r="G1260" i="4"/>
  <c r="F1260" i="4"/>
  <c r="C1260" i="4"/>
  <c r="A1260" i="4"/>
  <c r="G1248" i="4"/>
  <c r="F1248" i="4"/>
  <c r="A1248" i="4"/>
  <c r="F421" i="4"/>
  <c r="A421" i="4"/>
  <c r="G47" i="4"/>
  <c r="F47" i="4"/>
  <c r="A47" i="4"/>
  <c r="G394" i="4"/>
  <c r="F394" i="4"/>
  <c r="A394" i="4"/>
  <c r="G413" i="4"/>
  <c r="F413" i="4"/>
  <c r="A413" i="4"/>
  <c r="G262" i="4"/>
  <c r="F262" i="4"/>
  <c r="C262" i="4"/>
  <c r="A262" i="4"/>
  <c r="G708" i="4"/>
  <c r="F708" i="4"/>
  <c r="A708" i="4"/>
  <c r="G1161" i="4"/>
  <c r="F1161" i="4"/>
  <c r="A1161" i="4"/>
  <c r="G1069" i="4"/>
  <c r="F1069" i="4"/>
  <c r="A1069" i="4"/>
  <c r="G1150" i="4"/>
  <c r="F1150" i="4"/>
  <c r="A1150" i="4"/>
  <c r="G1087" i="4"/>
  <c r="F1087" i="4"/>
  <c r="A1087" i="4"/>
  <c r="G1103" i="4"/>
  <c r="F1103" i="4"/>
  <c r="A1103" i="4"/>
  <c r="G554" i="4"/>
  <c r="F554" i="4"/>
  <c r="A554" i="4"/>
  <c r="G978" i="4"/>
  <c r="F978" i="4"/>
  <c r="A978" i="4"/>
  <c r="G571" i="4"/>
  <c r="F571" i="4"/>
  <c r="C571" i="4"/>
  <c r="A571" i="4"/>
  <c r="G489" i="4"/>
  <c r="F489" i="4"/>
  <c r="A489" i="4"/>
  <c r="G434" i="4"/>
  <c r="F434" i="4"/>
  <c r="A434" i="4"/>
  <c r="G686" i="4"/>
  <c r="F686" i="4"/>
  <c r="C686" i="4"/>
  <c r="A686" i="4"/>
  <c r="G341" i="4"/>
  <c r="F341" i="4"/>
  <c r="C341" i="4"/>
  <c r="A341" i="4"/>
  <c r="G588" i="4"/>
  <c r="F588" i="4"/>
  <c r="A588" i="4"/>
  <c r="G360" i="4"/>
  <c r="F360" i="4"/>
  <c r="A360" i="4"/>
  <c r="G923" i="4"/>
  <c r="F923" i="4"/>
  <c r="C923" i="4"/>
  <c r="A923" i="4"/>
  <c r="G982" i="4"/>
  <c r="F982" i="4"/>
  <c r="A982" i="4"/>
  <c r="G972" i="4"/>
  <c r="F972" i="4"/>
  <c r="A972" i="4"/>
  <c r="G118" i="4"/>
  <c r="F118" i="4"/>
  <c r="A118" i="4"/>
  <c r="G931" i="4"/>
  <c r="F931" i="4"/>
  <c r="A931" i="4"/>
  <c r="G419" i="4"/>
  <c r="F419" i="4"/>
  <c r="C419" i="4"/>
  <c r="A419" i="4"/>
  <c r="G1024" i="4"/>
  <c r="F1024" i="4"/>
  <c r="A1024" i="4"/>
  <c r="G80" i="4"/>
  <c r="F80" i="4"/>
  <c r="A80" i="4"/>
  <c r="G279" i="4"/>
  <c r="F279" i="4"/>
  <c r="A279" i="4"/>
  <c r="G918" i="4"/>
  <c r="F918" i="4"/>
  <c r="A918" i="4"/>
  <c r="G87" i="4"/>
  <c r="F87" i="4"/>
  <c r="A87" i="4"/>
  <c r="G904" i="4"/>
  <c r="F904" i="4"/>
  <c r="A904" i="4"/>
  <c r="G594" i="4"/>
  <c r="F594" i="4"/>
  <c r="A594" i="4"/>
  <c r="G51" i="4"/>
  <c r="F51" i="4"/>
  <c r="C51" i="4"/>
  <c r="A51" i="4"/>
  <c r="G1243" i="4"/>
  <c r="F1243" i="4"/>
  <c r="A1243" i="4"/>
  <c r="G784" i="4"/>
  <c r="F784" i="4"/>
  <c r="A784" i="4"/>
  <c r="G771" i="4"/>
  <c r="F771" i="4"/>
  <c r="A771" i="4"/>
  <c r="G765" i="4"/>
  <c r="F765" i="4"/>
  <c r="A765" i="4"/>
  <c r="G764" i="4"/>
  <c r="F764" i="4"/>
  <c r="A764" i="4"/>
  <c r="G418" i="4"/>
  <c r="F418" i="4"/>
  <c r="A418" i="4"/>
  <c r="G387" i="4"/>
  <c r="F387" i="4"/>
  <c r="A387" i="4"/>
  <c r="G737" i="4"/>
  <c r="F737" i="4"/>
  <c r="A737" i="4"/>
  <c r="G811" i="4"/>
  <c r="F811" i="4"/>
  <c r="A811" i="4"/>
  <c r="G284" i="4"/>
  <c r="F284" i="4"/>
  <c r="A284" i="4"/>
  <c r="G67" i="4"/>
  <c r="F67" i="4"/>
  <c r="A67" i="4"/>
  <c r="G689" i="4"/>
  <c r="F689" i="4"/>
  <c r="C689" i="4"/>
  <c r="A689" i="4"/>
  <c r="G860" i="4"/>
  <c r="F860" i="4"/>
  <c r="A860" i="4"/>
  <c r="G1169" i="4"/>
  <c r="F1169" i="4"/>
  <c r="A1169" i="4"/>
  <c r="G592" i="4"/>
  <c r="F592" i="4"/>
  <c r="A592" i="4"/>
  <c r="G558" i="4"/>
  <c r="F558" i="4"/>
  <c r="C558" i="4"/>
  <c r="A558" i="4"/>
  <c r="G557" i="4"/>
  <c r="F557" i="4"/>
  <c r="C557" i="4"/>
  <c r="A557" i="4"/>
  <c r="G1235" i="4"/>
  <c r="F1235" i="4"/>
  <c r="A1235" i="4"/>
  <c r="G1093" i="4"/>
  <c r="F1093" i="4"/>
  <c r="A1093" i="4"/>
  <c r="G909" i="4"/>
  <c r="F909" i="4"/>
  <c r="C909" i="4"/>
  <c r="A909" i="4"/>
  <c r="F1178" i="4"/>
  <c r="A1178" i="4"/>
  <c r="G520" i="4"/>
  <c r="F520" i="4"/>
  <c r="A520" i="4"/>
  <c r="G400" i="4"/>
  <c r="F400" i="4"/>
  <c r="A400" i="4"/>
  <c r="G461" i="4"/>
  <c r="F461" i="4"/>
  <c r="A461" i="4"/>
  <c r="F334" i="4"/>
  <c r="A334" i="4"/>
  <c r="G45" i="4"/>
  <c r="F45" i="4"/>
  <c r="A45" i="4"/>
  <c r="G331" i="4"/>
  <c r="F331" i="4"/>
  <c r="A331" i="4"/>
  <c r="G361" i="4"/>
  <c r="F361" i="4"/>
  <c r="C361" i="4"/>
  <c r="A361" i="4"/>
  <c r="G358" i="4"/>
  <c r="F358" i="4"/>
  <c r="A358" i="4"/>
  <c r="G1306" i="4"/>
  <c r="F1306" i="4"/>
  <c r="A1306" i="4"/>
  <c r="G482" i="4"/>
  <c r="F482" i="4"/>
  <c r="A482" i="4"/>
  <c r="G703" i="4"/>
  <c r="F703" i="4"/>
  <c r="C703" i="4"/>
  <c r="A703" i="4"/>
  <c r="G280" i="4"/>
  <c r="F280" i="4"/>
  <c r="A280" i="4"/>
  <c r="G178" i="4"/>
  <c r="F178" i="4"/>
  <c r="A178" i="4"/>
  <c r="G625" i="4"/>
  <c r="F625" i="4"/>
  <c r="A625" i="4"/>
  <c r="G94" i="4"/>
  <c r="F94" i="4"/>
  <c r="C94" i="4"/>
  <c r="A94" i="4"/>
  <c r="G1263" i="4"/>
  <c r="F1263" i="4"/>
  <c r="A1263" i="4"/>
  <c r="G152" i="4"/>
  <c r="F152" i="4"/>
  <c r="A152" i="4"/>
  <c r="G139" i="4"/>
  <c r="F139" i="4"/>
  <c r="A139" i="4"/>
  <c r="G567" i="4"/>
  <c r="F567" i="4"/>
  <c r="A567" i="4"/>
  <c r="G83" i="4"/>
  <c r="F83" i="4"/>
  <c r="A83" i="4"/>
  <c r="G75" i="4"/>
  <c r="F75" i="4"/>
  <c r="C75" i="4"/>
  <c r="A75" i="4"/>
  <c r="G70" i="4"/>
  <c r="F70" i="4"/>
  <c r="C70" i="4"/>
  <c r="A70" i="4"/>
  <c r="G650" i="4"/>
  <c r="F650" i="4"/>
  <c r="A650" i="4"/>
  <c r="G1341" i="4"/>
  <c r="F1341" i="4"/>
  <c r="A1341" i="4"/>
  <c r="G46" i="4"/>
  <c r="F46" i="4"/>
  <c r="A46" i="4"/>
  <c r="G346" i="4"/>
  <c r="F346" i="4"/>
  <c r="A346" i="4"/>
  <c r="G1270" i="4"/>
  <c r="F1270" i="4"/>
  <c r="A1270" i="4"/>
  <c r="G1223" i="4"/>
  <c r="F1223" i="4"/>
  <c r="A1223" i="4"/>
  <c r="G1057" i="4"/>
  <c r="F1057" i="4"/>
  <c r="C1057" i="4"/>
  <c r="A1057" i="4"/>
  <c r="G105" i="4"/>
  <c r="F105" i="4"/>
  <c r="A105" i="4"/>
  <c r="G721" i="4"/>
  <c r="F721" i="4"/>
  <c r="A721" i="4"/>
  <c r="G846" i="4"/>
  <c r="F846" i="4"/>
  <c r="A846" i="4"/>
  <c r="G874" i="4"/>
  <c r="F874" i="4"/>
  <c r="A874" i="4"/>
  <c r="G66" i="4"/>
  <c r="F66" i="4"/>
  <c r="A66" i="4"/>
  <c r="G136" i="4"/>
  <c r="F136" i="4"/>
  <c r="A136" i="4"/>
  <c r="G731" i="4"/>
  <c r="F731" i="4"/>
  <c r="A731" i="4"/>
  <c r="G1262" i="4"/>
  <c r="F1262" i="4"/>
  <c r="C1262" i="4"/>
  <c r="A1262" i="4"/>
  <c r="G707" i="4"/>
  <c r="F707" i="4"/>
  <c r="C707" i="4"/>
  <c r="A707" i="4"/>
  <c r="G27" i="4"/>
  <c r="F27" i="4"/>
  <c r="A27" i="4"/>
  <c r="F1380" i="1"/>
  <c r="G1380" i="1"/>
  <c r="A347" i="1"/>
  <c r="C347" i="1"/>
  <c r="F347" i="1"/>
  <c r="G347" i="1"/>
  <c r="C1161" i="1"/>
  <c r="F1161" i="1"/>
  <c r="G1161" i="1"/>
  <c r="F1066" i="1"/>
  <c r="G1066" i="1"/>
  <c r="A245" i="1"/>
  <c r="C245" i="1"/>
  <c r="F245" i="1"/>
  <c r="G245" i="1"/>
  <c r="F1137" i="1"/>
  <c r="G1137" i="1"/>
  <c r="A338" i="1"/>
  <c r="F338" i="1"/>
  <c r="G338" i="1"/>
  <c r="A212" i="1"/>
  <c r="F212" i="1"/>
  <c r="G212" i="1"/>
  <c r="A680" i="1"/>
  <c r="F680" i="1"/>
  <c r="G680" i="1"/>
  <c r="A208" i="1"/>
  <c r="C208" i="1"/>
  <c r="F208" i="1"/>
  <c r="G208" i="1"/>
  <c r="F947" i="1"/>
  <c r="G947" i="1"/>
  <c r="A813" i="1"/>
  <c r="F813" i="1"/>
  <c r="G813" i="1"/>
  <c r="F1098" i="1"/>
  <c r="G1098" i="1"/>
  <c r="A485" i="1"/>
  <c r="C485" i="1"/>
  <c r="F485" i="1"/>
  <c r="G485" i="1"/>
  <c r="A698" i="1"/>
  <c r="F698" i="1"/>
  <c r="G698" i="1"/>
  <c r="F1187" i="1"/>
  <c r="G1187" i="1"/>
  <c r="A714" i="1"/>
  <c r="C714" i="1"/>
  <c r="F714" i="1"/>
  <c r="G714" i="1"/>
  <c r="A387" i="1"/>
  <c r="F387" i="1"/>
  <c r="G387" i="1"/>
  <c r="A425" i="1"/>
  <c r="F425" i="1"/>
  <c r="G425" i="1"/>
  <c r="A233" i="1"/>
  <c r="F233" i="1"/>
  <c r="G233" i="1"/>
  <c r="C1004" i="1"/>
  <c r="F1004" i="1"/>
  <c r="G1004" i="1"/>
  <c r="A781" i="1"/>
  <c r="F781" i="1"/>
  <c r="G781" i="1"/>
  <c r="C1307" i="1"/>
  <c r="F1307" i="1"/>
  <c r="G1307" i="1"/>
  <c r="A570" i="1"/>
  <c r="C570" i="1"/>
  <c r="D570" i="1"/>
  <c r="E570" i="1"/>
  <c r="F570" i="1"/>
  <c r="A560" i="1"/>
  <c r="C560" i="1"/>
  <c r="D560" i="1"/>
  <c r="E560" i="1"/>
  <c r="F560" i="1"/>
  <c r="F977" i="1"/>
  <c r="G977" i="1"/>
  <c r="A466" i="1"/>
  <c r="F466" i="1"/>
  <c r="G466" i="1"/>
  <c r="A634" i="1"/>
  <c r="B634" i="1"/>
  <c r="F634" i="1"/>
  <c r="G634" i="1"/>
  <c r="F1167" i="1"/>
  <c r="G1167" i="1"/>
  <c r="A558" i="1"/>
  <c r="C558" i="1"/>
  <c r="D558" i="1"/>
  <c r="E558" i="1"/>
  <c r="F558" i="1"/>
  <c r="F1048" i="1"/>
  <c r="G1048" i="1"/>
  <c r="A13" i="1"/>
  <c r="C13" i="1"/>
  <c r="F13" i="1"/>
  <c r="G13" i="1"/>
  <c r="A287" i="1"/>
  <c r="C287" i="1"/>
  <c r="F287" i="1"/>
  <c r="G287" i="1"/>
  <c r="A480" i="1"/>
  <c r="F480" i="1"/>
  <c r="G480" i="1"/>
  <c r="A532" i="1"/>
  <c r="C532" i="1"/>
  <c r="D532" i="1"/>
  <c r="E532" i="1"/>
  <c r="F532" i="1"/>
  <c r="A523" i="1"/>
  <c r="C523" i="1"/>
  <c r="F523" i="1"/>
  <c r="G523" i="1"/>
  <c r="F1217" i="1"/>
  <c r="G1217" i="1"/>
  <c r="C916" i="1"/>
  <c r="F916" i="1"/>
  <c r="G916" i="1"/>
  <c r="A308" i="1"/>
  <c r="F308" i="1"/>
  <c r="G308" i="1"/>
  <c r="F1168" i="1"/>
  <c r="G1168" i="1"/>
  <c r="A377" i="1"/>
  <c r="F377" i="1"/>
  <c r="G377" i="1"/>
  <c r="A416" i="1"/>
  <c r="F416" i="1"/>
  <c r="G416" i="1"/>
  <c r="A423" i="1"/>
  <c r="F423" i="1"/>
  <c r="G423" i="1"/>
  <c r="A768" i="1"/>
  <c r="F768" i="1"/>
  <c r="G768" i="1"/>
  <c r="F1052" i="1"/>
  <c r="G1052" i="1"/>
  <c r="F1051" i="1"/>
  <c r="G1051" i="1"/>
  <c r="F1314" i="1"/>
  <c r="G1314" i="1"/>
  <c r="A890" i="1"/>
  <c r="F890" i="1"/>
  <c r="G890" i="1"/>
  <c r="F1279" i="1"/>
  <c r="G1279" i="1"/>
  <c r="A829" i="1"/>
  <c r="F829" i="1"/>
  <c r="G829" i="1"/>
  <c r="A855" i="1"/>
  <c r="F855" i="1"/>
  <c r="G855" i="1"/>
  <c r="A285" i="1"/>
  <c r="F285" i="1"/>
  <c r="G285" i="1"/>
  <c r="A337" i="1"/>
  <c r="F337" i="1"/>
  <c r="G337" i="1"/>
  <c r="H337" i="1"/>
  <c r="A289" i="1"/>
  <c r="F289" i="1"/>
  <c r="G289" i="1"/>
  <c r="F1190" i="1"/>
  <c r="G1190" i="1"/>
  <c r="F1319" i="1"/>
  <c r="G1319" i="1"/>
  <c r="A63" i="1"/>
  <c r="C63" i="1"/>
  <c r="F63" i="1"/>
  <c r="G63" i="1"/>
  <c r="C1125" i="1"/>
  <c r="F1125" i="1"/>
  <c r="G1125" i="1"/>
  <c r="F1330" i="1"/>
  <c r="G1330" i="1"/>
  <c r="A565" i="1"/>
  <c r="C565" i="1"/>
  <c r="D565" i="1"/>
  <c r="E565" i="1"/>
  <c r="F565" i="1"/>
  <c r="A31" i="1"/>
  <c r="C31" i="1"/>
  <c r="F31" i="1"/>
  <c r="G31" i="1"/>
  <c r="F1322" i="1"/>
  <c r="G1322" i="1"/>
  <c r="F933" i="1"/>
  <c r="G933" i="1"/>
  <c r="A587" i="1"/>
  <c r="C587" i="1"/>
  <c r="F587" i="1"/>
  <c r="G587" i="1"/>
  <c r="F950" i="1"/>
  <c r="G950" i="1"/>
  <c r="C1208" i="1"/>
  <c r="F1208" i="1"/>
  <c r="G1208" i="1"/>
  <c r="A626" i="1"/>
  <c r="F626" i="1"/>
  <c r="G626" i="1"/>
  <c r="A358" i="1"/>
  <c r="F358" i="1"/>
  <c r="G358" i="1"/>
  <c r="A556" i="1"/>
  <c r="C556" i="1"/>
  <c r="D556" i="1"/>
  <c r="E556" i="1"/>
  <c r="F556" i="1"/>
  <c r="A653" i="1"/>
  <c r="F653" i="1"/>
  <c r="G653" i="1"/>
  <c r="A240" i="1"/>
  <c r="F240" i="1"/>
  <c r="G240" i="1"/>
  <c r="C978" i="1"/>
  <c r="F978" i="1"/>
  <c r="G978" i="1"/>
  <c r="A311" i="1"/>
  <c r="F311" i="1"/>
  <c r="G311" i="1"/>
  <c r="A787" i="1"/>
  <c r="F787" i="1"/>
  <c r="G787" i="1"/>
  <c r="A175" i="1"/>
  <c r="F175" i="1"/>
  <c r="G175" i="1"/>
  <c r="A174" i="1"/>
  <c r="F174" i="1"/>
  <c r="G174" i="1"/>
  <c r="A373" i="1"/>
  <c r="C373" i="1"/>
  <c r="F373" i="1"/>
  <c r="G373" i="1"/>
  <c r="A2" i="1"/>
  <c r="F2" i="1"/>
  <c r="G2" i="1"/>
  <c r="A346" i="1"/>
  <c r="C346" i="1"/>
  <c r="F346" i="1"/>
  <c r="G346" i="1"/>
  <c r="A514" i="1"/>
  <c r="C514" i="1"/>
  <c r="D514" i="1"/>
  <c r="E514" i="1"/>
  <c r="F514" i="1"/>
  <c r="A164" i="1"/>
  <c r="F164" i="1"/>
  <c r="G164" i="1"/>
  <c r="A679" i="1"/>
  <c r="F679" i="1"/>
  <c r="G679" i="1"/>
  <c r="F998" i="1"/>
  <c r="G998" i="1"/>
  <c r="A163" i="1"/>
  <c r="F163" i="1"/>
  <c r="G163" i="1"/>
  <c r="A832" i="1"/>
  <c r="F832" i="1"/>
  <c r="G832" i="1"/>
  <c r="A51" i="1"/>
  <c r="C51" i="1"/>
  <c r="F51" i="1"/>
  <c r="G51" i="1"/>
  <c r="A132" i="1"/>
  <c r="F132" i="1"/>
  <c r="G132" i="1"/>
  <c r="C900" i="1"/>
  <c r="F900" i="1"/>
  <c r="G900" i="1"/>
  <c r="C1235" i="1"/>
  <c r="F1235" i="1"/>
  <c r="G1235" i="1"/>
  <c r="F1145" i="1"/>
  <c r="G1145" i="1"/>
  <c r="A895" i="1"/>
  <c r="F895" i="1"/>
  <c r="G895" i="1"/>
  <c r="A822" i="1"/>
  <c r="F822" i="1"/>
  <c r="G822" i="1"/>
  <c r="C1258" i="1"/>
  <c r="F1258" i="1"/>
  <c r="G1258" i="1"/>
  <c r="F1000" i="1"/>
  <c r="G1000" i="1"/>
  <c r="A644" i="1"/>
  <c r="F644" i="1"/>
  <c r="G644" i="1"/>
  <c r="A421" i="1"/>
  <c r="F421" i="1"/>
  <c r="G421" i="1"/>
  <c r="A474" i="1"/>
  <c r="F474" i="1"/>
  <c r="G474" i="1"/>
  <c r="F1008" i="1"/>
  <c r="G1008" i="1"/>
  <c r="A329" i="1"/>
  <c r="F329" i="1"/>
  <c r="G329" i="1"/>
  <c r="A250" i="1"/>
  <c r="C250" i="1"/>
  <c r="F250" i="1"/>
  <c r="G250" i="1"/>
  <c r="A517" i="1"/>
  <c r="C517" i="1"/>
  <c r="D517" i="1"/>
  <c r="E517" i="1"/>
  <c r="F517" i="1"/>
  <c r="F914" i="1"/>
  <c r="G914" i="1"/>
  <c r="A77" i="1"/>
  <c r="F77" i="1"/>
  <c r="G77" i="1"/>
  <c r="A770" i="1"/>
  <c r="F770" i="1"/>
  <c r="G770" i="1"/>
  <c r="A138" i="1"/>
  <c r="C138" i="1"/>
  <c r="G138" i="1"/>
  <c r="F949" i="1"/>
  <c r="G949" i="1"/>
  <c r="A11" i="1"/>
  <c r="F11" i="1"/>
  <c r="G11" i="1"/>
  <c r="A426" i="1"/>
  <c r="F426" i="1"/>
  <c r="G426" i="1"/>
  <c r="A114" i="1"/>
  <c r="F114" i="1"/>
  <c r="G114" i="1"/>
  <c r="F1160" i="1"/>
  <c r="A402" i="1"/>
  <c r="F402" i="1"/>
  <c r="G402" i="1"/>
  <c r="A512" i="1"/>
  <c r="A748" i="1"/>
  <c r="F748" i="1"/>
  <c r="G748" i="1"/>
  <c r="A424" i="1"/>
  <c r="F424" i="1"/>
  <c r="G424" i="1"/>
  <c r="F917" i="1"/>
  <c r="G917" i="1"/>
  <c r="A450" i="1"/>
  <c r="F450" i="1"/>
  <c r="G450" i="1"/>
  <c r="A645" i="1"/>
  <c r="F645" i="1"/>
  <c r="G645" i="1"/>
  <c r="A364" i="1"/>
  <c r="F364" i="1"/>
  <c r="G364" i="1"/>
  <c r="A407" i="1"/>
  <c r="F407" i="1"/>
  <c r="G407" i="1"/>
  <c r="A731" i="1"/>
  <c r="F731" i="1"/>
  <c r="G731" i="1"/>
  <c r="A728" i="1"/>
  <c r="F728" i="1"/>
  <c r="G728" i="1"/>
  <c r="A525" i="1"/>
  <c r="F525" i="1"/>
  <c r="G525" i="1"/>
  <c r="F1016" i="1"/>
  <c r="G1016" i="1"/>
  <c r="F1089" i="1"/>
  <c r="G1089" i="1"/>
  <c r="A875" i="1"/>
  <c r="F875" i="1"/>
  <c r="G875" i="1"/>
  <c r="A892" i="1"/>
  <c r="F892" i="1"/>
  <c r="G892" i="1"/>
  <c r="F1247" i="1"/>
  <c r="G1247" i="1"/>
  <c r="F1265" i="1"/>
  <c r="G1265" i="1"/>
  <c r="C1276" i="1"/>
  <c r="F1276" i="1"/>
  <c r="G1276" i="1"/>
  <c r="F1257" i="1"/>
  <c r="G1257" i="1"/>
  <c r="A798" i="1"/>
  <c r="F798" i="1"/>
  <c r="G798" i="1"/>
  <c r="F1181" i="1"/>
  <c r="G1181" i="1"/>
  <c r="F1361" i="1"/>
  <c r="G1361" i="1"/>
  <c r="F1027" i="1"/>
  <c r="G1027" i="1"/>
  <c r="A94" i="1"/>
  <c r="F94" i="1"/>
  <c r="G94" i="1"/>
  <c r="A861" i="1"/>
  <c r="F861" i="1"/>
  <c r="G861" i="1"/>
  <c r="C979" i="1"/>
  <c r="F979" i="1"/>
  <c r="G979" i="1"/>
  <c r="A594" i="1"/>
  <c r="C594" i="1"/>
  <c r="F594" i="1"/>
  <c r="G594" i="1"/>
  <c r="C1146" i="1"/>
  <c r="F1146" i="1"/>
  <c r="G1146" i="1"/>
  <c r="A291" i="1"/>
  <c r="F291" i="1"/>
  <c r="G291" i="1"/>
  <c r="A283" i="1"/>
  <c r="F283" i="1"/>
  <c r="G283" i="1"/>
  <c r="A683" i="1"/>
  <c r="F683" i="1"/>
  <c r="G683" i="1"/>
  <c r="A320" i="1"/>
  <c r="F320" i="1"/>
  <c r="G320" i="1"/>
  <c r="A99" i="1"/>
  <c r="C99" i="1"/>
  <c r="F99" i="1"/>
  <c r="G99" i="1"/>
  <c r="F1042" i="1"/>
  <c r="G1042" i="1"/>
  <c r="A293" i="1"/>
  <c r="F293" i="1"/>
  <c r="G293" i="1"/>
  <c r="F1369" i="1"/>
  <c r="G1369" i="1"/>
  <c r="A561" i="1"/>
  <c r="C561" i="1"/>
  <c r="D561" i="1"/>
  <c r="E561" i="1"/>
  <c r="F561" i="1"/>
  <c r="F1207" i="1"/>
  <c r="G1207" i="1"/>
  <c r="A445" i="1"/>
  <c r="F445" i="1"/>
  <c r="G445" i="1"/>
  <c r="A428" i="1"/>
  <c r="F428" i="1"/>
  <c r="G428" i="1"/>
  <c r="A778" i="1"/>
  <c r="C778" i="1"/>
  <c r="F778" i="1"/>
  <c r="G778" i="1"/>
  <c r="A205" i="1"/>
  <c r="F205" i="1"/>
  <c r="G205" i="1"/>
  <c r="A242" i="1"/>
  <c r="C242" i="1"/>
  <c r="F242" i="1"/>
  <c r="G242" i="1"/>
  <c r="A476" i="1"/>
  <c r="F476" i="1"/>
  <c r="G476" i="1"/>
  <c r="A472" i="1"/>
  <c r="F472" i="1"/>
  <c r="G472" i="1"/>
  <c r="A488" i="1"/>
  <c r="C488" i="1"/>
  <c r="F488" i="1"/>
  <c r="G488" i="1"/>
  <c r="A381" i="1"/>
  <c r="F381" i="1"/>
  <c r="G381" i="1"/>
  <c r="F997" i="1"/>
  <c r="G997" i="1"/>
  <c r="A161" i="1"/>
  <c r="F161" i="1"/>
  <c r="G161" i="1"/>
  <c r="A444" i="1"/>
  <c r="F444" i="1"/>
  <c r="G444" i="1"/>
  <c r="A266" i="1"/>
  <c r="F266" i="1"/>
  <c r="G266" i="1"/>
  <c r="A595" i="1"/>
  <c r="F595" i="1"/>
  <c r="G595" i="1"/>
  <c r="A360" i="1"/>
  <c r="F360" i="1"/>
  <c r="G360" i="1"/>
  <c r="F954" i="1"/>
  <c r="G954" i="1"/>
  <c r="F1091" i="1"/>
  <c r="G1091" i="1"/>
  <c r="C1093" i="1"/>
  <c r="F1093" i="1"/>
  <c r="G1093" i="1"/>
  <c r="C1175" i="1"/>
  <c r="F1175" i="1"/>
  <c r="G1175" i="1"/>
  <c r="F920" i="1"/>
  <c r="G920" i="1"/>
  <c r="F1252" i="1"/>
  <c r="G1252" i="1"/>
  <c r="F1148" i="1"/>
  <c r="G1148" i="1"/>
  <c r="A569" i="1"/>
  <c r="C569" i="1"/>
  <c r="D569" i="1"/>
  <c r="E569" i="1"/>
  <c r="F569" i="1"/>
  <c r="A711" i="1"/>
  <c r="C711" i="1"/>
  <c r="F711" i="1"/>
  <c r="G711" i="1"/>
  <c r="A673" i="1"/>
  <c r="F673" i="1"/>
  <c r="G673" i="1"/>
  <c r="F934" i="1"/>
  <c r="G934" i="1"/>
  <c r="A400" i="1"/>
  <c r="F400" i="1"/>
  <c r="G400" i="1"/>
  <c r="A604" i="1"/>
  <c r="F604" i="1"/>
  <c r="G604" i="1"/>
  <c r="A484" i="1"/>
  <c r="C484" i="1"/>
  <c r="F484" i="1"/>
  <c r="G484" i="1"/>
  <c r="A422" i="1"/>
  <c r="C422" i="1"/>
  <c r="F422" i="1"/>
  <c r="G422" i="1"/>
  <c r="F1097" i="1"/>
  <c r="G1097" i="1"/>
  <c r="F1087" i="1"/>
  <c r="G1087" i="1"/>
  <c r="A71" i="1"/>
  <c r="C71" i="1"/>
  <c r="F71" i="1"/>
  <c r="G71" i="1"/>
  <c r="F1290" i="1"/>
  <c r="G1290" i="1"/>
  <c r="A440" i="1"/>
  <c r="C440" i="1"/>
  <c r="F440" i="1"/>
  <c r="G440" i="1"/>
  <c r="A803" i="1"/>
  <c r="F803" i="1"/>
  <c r="G803" i="1"/>
  <c r="A736" i="1"/>
  <c r="F736" i="1"/>
  <c r="G736" i="1"/>
  <c r="F965" i="1"/>
  <c r="G965" i="1"/>
  <c r="C975" i="1"/>
  <c r="F975" i="1"/>
  <c r="G975" i="1"/>
  <c r="F1210" i="1"/>
  <c r="G1210" i="1"/>
  <c r="F1014" i="1"/>
  <c r="G1014" i="1"/>
  <c r="A827" i="1"/>
  <c r="F827" i="1"/>
  <c r="G827" i="1"/>
  <c r="A837" i="1"/>
  <c r="F837" i="1"/>
  <c r="G837" i="1"/>
  <c r="A104" i="1"/>
  <c r="F104" i="1"/>
  <c r="G104" i="1"/>
  <c r="A631" i="1"/>
  <c r="F631" i="1"/>
  <c r="G631" i="1"/>
  <c r="A229" i="1"/>
  <c r="F229" i="1"/>
  <c r="G229" i="1"/>
  <c r="A134" i="1"/>
  <c r="F134" i="1"/>
  <c r="G134" i="1"/>
  <c r="F929" i="1"/>
  <c r="G929" i="1"/>
  <c r="F976" i="1"/>
  <c r="G976" i="1"/>
  <c r="A554" i="1"/>
  <c r="C554" i="1"/>
  <c r="D554" i="1"/>
  <c r="E554" i="1"/>
  <c r="F554" i="1"/>
  <c r="A656" i="1"/>
  <c r="C656" i="1"/>
  <c r="F656" i="1"/>
  <c r="G656" i="1"/>
  <c r="A340" i="1"/>
  <c r="F340" i="1"/>
  <c r="G340" i="1"/>
  <c r="A4" i="1"/>
  <c r="A216" i="1"/>
  <c r="C216" i="1"/>
  <c r="F216" i="1"/>
  <c r="G216" i="1"/>
  <c r="A53" i="1"/>
  <c r="F53" i="1"/>
  <c r="G53" i="1"/>
  <c r="A539" i="1"/>
  <c r="C539" i="1"/>
  <c r="D539" i="1"/>
  <c r="E539" i="1"/>
  <c r="F539" i="1"/>
  <c r="A538" i="1"/>
  <c r="C538" i="1"/>
  <c r="D538" i="1"/>
  <c r="E538" i="1"/>
  <c r="F538" i="1"/>
  <c r="A510" i="1"/>
  <c r="A579" i="1"/>
  <c r="C579" i="1"/>
  <c r="D579" i="1"/>
  <c r="E579" i="1"/>
  <c r="F579" i="1"/>
  <c r="A499" i="1"/>
  <c r="A8" i="1"/>
  <c r="F8" i="1"/>
  <c r="G8" i="1"/>
  <c r="A625" i="1"/>
  <c r="C625" i="1"/>
  <c r="F625" i="1"/>
  <c r="G625" i="1"/>
  <c r="A601" i="1"/>
  <c r="F601" i="1"/>
  <c r="G601" i="1"/>
  <c r="A193" i="1"/>
  <c r="C193" i="1"/>
  <c r="F193" i="1"/>
  <c r="G193" i="1"/>
  <c r="A619" i="1"/>
  <c r="F619" i="1"/>
  <c r="G619" i="1"/>
  <c r="A815" i="1"/>
  <c r="F815" i="1"/>
  <c r="G815" i="1"/>
  <c r="A858" i="1"/>
  <c r="F858" i="1"/>
  <c r="G858" i="1"/>
  <c r="A691" i="1"/>
  <c r="F691" i="1"/>
  <c r="G691" i="1"/>
  <c r="A805" i="1"/>
  <c r="F805" i="1"/>
  <c r="G805" i="1"/>
  <c r="A882" i="1"/>
  <c r="C882" i="1"/>
  <c r="F882" i="1"/>
  <c r="G882" i="1"/>
  <c r="A883" i="1"/>
  <c r="F883" i="1"/>
  <c r="G883" i="1"/>
  <c r="C1268" i="1"/>
  <c r="F1268" i="1"/>
  <c r="G1268" i="1"/>
  <c r="A792" i="1"/>
  <c r="F792" i="1"/>
  <c r="G792" i="1"/>
  <c r="A491" i="1"/>
  <c r="F491" i="1"/>
  <c r="G491" i="1"/>
  <c r="A797" i="1"/>
  <c r="F797" i="1"/>
  <c r="G797" i="1"/>
  <c r="F1300" i="1"/>
  <c r="G1300" i="1"/>
  <c r="A473" i="1"/>
  <c r="F473" i="1"/>
  <c r="G473" i="1"/>
  <c r="A475" i="1"/>
  <c r="C475" i="1"/>
  <c r="F475" i="1"/>
  <c r="G475" i="1"/>
  <c r="A274" i="1"/>
  <c r="C274" i="1"/>
  <c r="F274" i="1"/>
  <c r="G274" i="1"/>
  <c r="A515" i="1"/>
  <c r="C515" i="1"/>
  <c r="D515" i="1"/>
  <c r="E515" i="1"/>
  <c r="F515" i="1"/>
  <c r="A315" i="1"/>
  <c r="F315" i="1"/>
  <c r="G315" i="1"/>
  <c r="A811" i="1"/>
  <c r="F811" i="1"/>
  <c r="G811" i="1"/>
  <c r="A9" i="1"/>
  <c r="F9" i="1"/>
  <c r="G9" i="1"/>
  <c r="A25" i="1"/>
  <c r="F25" i="1"/>
  <c r="G25" i="1"/>
  <c r="F1150" i="1"/>
  <c r="G1150" i="1"/>
  <c r="A79" i="1"/>
  <c r="C79" i="1"/>
  <c r="F79" i="1"/>
  <c r="G79" i="1"/>
  <c r="A74" i="1"/>
  <c r="F74" i="1"/>
  <c r="G74" i="1"/>
  <c r="A182" i="1"/>
  <c r="F182" i="1"/>
  <c r="G182" i="1"/>
  <c r="A339" i="1"/>
  <c r="F339" i="1"/>
  <c r="G339" i="1"/>
  <c r="A841" i="1"/>
  <c r="C841" i="1"/>
  <c r="F841" i="1"/>
  <c r="G841" i="1"/>
  <c r="F1313" i="1"/>
  <c r="G1313" i="1"/>
  <c r="A692" i="1"/>
  <c r="C692" i="1"/>
  <c r="F692" i="1"/>
  <c r="G692" i="1"/>
  <c r="A249" i="1"/>
  <c r="C249" i="1"/>
  <c r="F249" i="1"/>
  <c r="G249" i="1"/>
  <c r="F1365" i="1"/>
  <c r="G1365" i="1"/>
  <c r="A121" i="1"/>
  <c r="F121" i="1"/>
  <c r="G121" i="1"/>
  <c r="A513" i="1"/>
  <c r="C513" i="1"/>
  <c r="D513" i="1"/>
  <c r="E513" i="1"/>
  <c r="F513" i="1"/>
  <c r="A321" i="1"/>
  <c r="F321" i="1"/>
  <c r="G321" i="1"/>
  <c r="F1323" i="1"/>
  <c r="G1323" i="1"/>
  <c r="A470" i="1"/>
  <c r="F470" i="1"/>
  <c r="G470" i="1"/>
  <c r="A478" i="1"/>
  <c r="F478" i="1"/>
  <c r="G478" i="1"/>
  <c r="A246" i="1"/>
  <c r="F246" i="1"/>
  <c r="G246" i="1"/>
  <c r="F980" i="1"/>
  <c r="G980" i="1"/>
  <c r="A730" i="1"/>
  <c r="F730" i="1"/>
  <c r="G730" i="1"/>
  <c r="A527" i="1"/>
  <c r="F527" i="1"/>
  <c r="G527" i="1"/>
  <c r="F962" i="1"/>
  <c r="G962" i="1"/>
  <c r="F1209" i="1"/>
  <c r="G1209" i="1"/>
  <c r="A894" i="1"/>
  <c r="F894" i="1"/>
  <c r="G894" i="1"/>
  <c r="F1130" i="1"/>
  <c r="G1130" i="1"/>
  <c r="C1034" i="1"/>
  <c r="F1034" i="1"/>
  <c r="G1034" i="1"/>
  <c r="A319" i="1"/>
  <c r="C319" i="1"/>
  <c r="F319" i="1"/>
  <c r="G319" i="1"/>
  <c r="A34" i="1"/>
  <c r="F34" i="1"/>
  <c r="G34" i="1"/>
  <c r="A411" i="1"/>
  <c r="F411" i="1"/>
  <c r="G411" i="1"/>
  <c r="A586" i="1"/>
  <c r="F586" i="1"/>
  <c r="G586" i="1"/>
  <c r="A300" i="1"/>
  <c r="C300" i="1"/>
  <c r="F300" i="1"/>
  <c r="G300" i="1"/>
  <c r="A758" i="1"/>
  <c r="F758" i="1"/>
  <c r="G758" i="1"/>
  <c r="A230" i="1"/>
  <c r="F230" i="1"/>
  <c r="G230" i="1"/>
  <c r="A639" i="1"/>
  <c r="F639" i="1"/>
  <c r="G639" i="1"/>
  <c r="F928" i="1"/>
  <c r="G928" i="1"/>
  <c r="A663" i="1"/>
  <c r="F663" i="1"/>
  <c r="G663" i="1"/>
  <c r="F987" i="1"/>
  <c r="G987" i="1"/>
  <c r="A332" i="1"/>
  <c r="F332" i="1"/>
  <c r="G332" i="1"/>
  <c r="F1082" i="1"/>
  <c r="G1082" i="1"/>
  <c r="A90" i="1"/>
  <c r="F90" i="1"/>
  <c r="G90" i="1"/>
  <c r="A86" i="1"/>
  <c r="F86" i="1"/>
  <c r="G86" i="1"/>
  <c r="A389" i="1"/>
  <c r="F389" i="1"/>
  <c r="G389" i="1"/>
  <c r="A452" i="1"/>
  <c r="F452" i="1"/>
  <c r="G452" i="1"/>
  <c r="F1284" i="1"/>
  <c r="G1284" i="1"/>
  <c r="F1254" i="1"/>
  <c r="G1254" i="1"/>
  <c r="F1225" i="1"/>
  <c r="G1225" i="1"/>
  <c r="A390" i="1"/>
  <c r="F390" i="1"/>
  <c r="G390" i="1"/>
  <c r="F1047" i="1"/>
  <c r="G1047" i="1"/>
  <c r="A754" i="1"/>
  <c r="F754" i="1"/>
  <c r="G754" i="1"/>
  <c r="A119" i="1"/>
  <c r="C119" i="1"/>
  <c r="F119" i="1"/>
  <c r="G119" i="1"/>
  <c r="A47" i="1"/>
  <c r="C47" i="1"/>
  <c r="F47" i="1"/>
  <c r="G47" i="1"/>
  <c r="A674" i="1"/>
  <c r="F674" i="1"/>
  <c r="G674" i="1"/>
  <c r="A641" i="1"/>
  <c r="C641" i="1"/>
  <c r="F641" i="1"/>
  <c r="G641" i="1"/>
  <c r="A459" i="1"/>
  <c r="F459" i="1"/>
  <c r="G459" i="1"/>
  <c r="A133" i="1"/>
  <c r="C133" i="1"/>
  <c r="F133" i="1"/>
  <c r="G133" i="1"/>
  <c r="A503" i="1"/>
  <c r="F503" i="1"/>
  <c r="G503" i="1"/>
  <c r="A404" i="1"/>
  <c r="C404" i="1"/>
  <c r="F404" i="1"/>
  <c r="F1336" i="1"/>
  <c r="G1336" i="1"/>
  <c r="A591" i="1"/>
  <c r="F591" i="1"/>
  <c r="G591" i="1"/>
  <c r="A648" i="1"/>
  <c r="C648" i="1"/>
  <c r="F648" i="1"/>
  <c r="G648" i="1"/>
  <c r="A733" i="1"/>
  <c r="F733" i="1"/>
  <c r="G733" i="1"/>
  <c r="A334" i="1"/>
  <c r="F334" i="1"/>
  <c r="G334" i="1"/>
  <c r="C915" i="1"/>
  <c r="F915" i="1"/>
  <c r="G915" i="1"/>
  <c r="A744" i="1"/>
  <c r="F744" i="1"/>
  <c r="G744" i="1"/>
  <c r="F1173" i="1"/>
  <c r="G1173" i="1"/>
  <c r="A627" i="1"/>
  <c r="F627" i="1"/>
  <c r="G627" i="1"/>
  <c r="A5" i="1"/>
  <c r="C5" i="1"/>
  <c r="F5" i="1"/>
  <c r="G5" i="1"/>
  <c r="A35" i="1"/>
  <c r="C35" i="1"/>
  <c r="F35" i="1"/>
  <c r="G35" i="1"/>
  <c r="A824" i="1"/>
  <c r="F824" i="1"/>
  <c r="G824" i="1"/>
  <c r="A469" i="1"/>
  <c r="F469" i="1"/>
  <c r="G469" i="1"/>
  <c r="F1309" i="1"/>
  <c r="G1309" i="1"/>
  <c r="A786" i="1"/>
  <c r="F786" i="1"/>
  <c r="G786" i="1"/>
  <c r="A660" i="1"/>
  <c r="F660" i="1"/>
  <c r="G660" i="1"/>
  <c r="F919" i="1"/>
  <c r="G919" i="1"/>
  <c r="F1328" i="1"/>
  <c r="G1328" i="1"/>
  <c r="A553" i="1"/>
  <c r="C553" i="1"/>
  <c r="D553" i="1"/>
  <c r="E553" i="1"/>
  <c r="F553" i="1"/>
  <c r="A202" i="1"/>
  <c r="F202" i="1"/>
  <c r="G202" i="1"/>
  <c r="F1343" i="1"/>
  <c r="G1343" i="1"/>
  <c r="F1031" i="1"/>
  <c r="G1031" i="1"/>
  <c r="A671" i="1"/>
  <c r="F671" i="1"/>
  <c r="G671" i="1"/>
  <c r="A481" i="1"/>
  <c r="F481" i="1"/>
  <c r="G481" i="1"/>
  <c r="A61" i="1"/>
  <c r="F61" i="1"/>
  <c r="G61" i="1"/>
  <c r="A665" i="1"/>
  <c r="F665" i="1"/>
  <c r="G665" i="1"/>
  <c r="A823" i="1"/>
  <c r="F823" i="1"/>
  <c r="G823" i="1"/>
  <c r="A100" i="1"/>
  <c r="F100" i="1"/>
  <c r="G100" i="1"/>
  <c r="A789" i="1"/>
  <c r="F789" i="1"/>
  <c r="G789" i="1"/>
  <c r="A706" i="1"/>
  <c r="F706" i="1"/>
  <c r="G706" i="1"/>
  <c r="F1338" i="1"/>
  <c r="G1338" i="1"/>
  <c r="A179" i="1"/>
  <c r="F179" i="1"/>
  <c r="G179" i="1"/>
  <c r="A622" i="1"/>
  <c r="C622" i="1"/>
  <c r="F622" i="1"/>
  <c r="G622" i="1"/>
  <c r="A359" i="1"/>
  <c r="F359" i="1"/>
  <c r="G359" i="1"/>
  <c r="A632" i="1"/>
  <c r="C632" i="1"/>
  <c r="F632" i="1"/>
  <c r="G632" i="1"/>
  <c r="F1166" i="1"/>
  <c r="G1166" i="1"/>
  <c r="F1334" i="1"/>
  <c r="G1334" i="1"/>
  <c r="A50" i="1"/>
  <c r="F50" i="1"/>
  <c r="G50" i="1"/>
  <c r="A60" i="1"/>
  <c r="F60" i="1"/>
  <c r="G60" i="1"/>
  <c r="A299" i="1"/>
  <c r="F299" i="1"/>
  <c r="G299" i="1"/>
  <c r="A251" i="1"/>
  <c r="F251" i="1"/>
  <c r="G251" i="1"/>
  <c r="A105" i="1"/>
  <c r="C105" i="1"/>
  <c r="F105" i="1"/>
  <c r="G105" i="1"/>
  <c r="A403" i="1"/>
  <c r="F403" i="1"/>
  <c r="G403" i="1"/>
  <c r="A528" i="1"/>
  <c r="F528" i="1"/>
  <c r="G528" i="1"/>
  <c r="A899" i="1"/>
  <c r="F899" i="1"/>
  <c r="G899" i="1"/>
  <c r="F1267" i="1"/>
  <c r="G1267" i="1"/>
  <c r="A887" i="1"/>
  <c r="F887" i="1"/>
  <c r="G887" i="1"/>
  <c r="F1272" i="1"/>
  <c r="G1272" i="1"/>
  <c r="A575" i="1"/>
  <c r="C575" i="1"/>
  <c r="D575" i="1"/>
  <c r="E575" i="1"/>
  <c r="F575" i="1"/>
  <c r="A726" i="1"/>
  <c r="F726" i="1"/>
  <c r="G726" i="1"/>
  <c r="C946" i="1"/>
  <c r="F946" i="1"/>
  <c r="G946" i="1"/>
  <c r="A836" i="1"/>
  <c r="F836" i="1"/>
  <c r="G836" i="1"/>
  <c r="A752" i="1"/>
  <c r="F752" i="1"/>
  <c r="G752" i="1"/>
  <c r="F1002" i="1"/>
  <c r="G1002" i="1"/>
  <c r="A272" i="1"/>
  <c r="F272" i="1"/>
  <c r="G272" i="1"/>
  <c r="F952" i="1"/>
  <c r="G952" i="1"/>
  <c r="A187" i="1"/>
  <c r="C187" i="1"/>
  <c r="F187" i="1"/>
  <c r="G187" i="1"/>
  <c r="C944" i="1"/>
  <c r="F944" i="1"/>
  <c r="G944" i="1"/>
  <c r="A854" i="1"/>
  <c r="F854" i="1"/>
  <c r="G854" i="1"/>
  <c r="A685" i="1"/>
  <c r="F685" i="1"/>
  <c r="G685" i="1"/>
  <c r="A451" i="1"/>
  <c r="F451" i="1"/>
  <c r="G451" i="1"/>
  <c r="C1126" i="1"/>
  <c r="F1126" i="1"/>
  <c r="G1126" i="1"/>
  <c r="F1316" i="1"/>
  <c r="G1316" i="1"/>
  <c r="F912" i="1"/>
  <c r="G912" i="1"/>
  <c r="F937" i="1"/>
  <c r="G937" i="1"/>
  <c r="A860" i="1"/>
  <c r="C860" i="1"/>
  <c r="F860" i="1"/>
  <c r="G860" i="1"/>
  <c r="A708" i="1"/>
  <c r="F708" i="1"/>
  <c r="G708" i="1"/>
  <c r="F983" i="1"/>
  <c r="G983" i="1"/>
  <c r="A23" i="1"/>
  <c r="F23" i="1"/>
  <c r="G23" i="1"/>
  <c r="A548" i="1"/>
  <c r="C548" i="1"/>
  <c r="D548" i="1"/>
  <c r="E548" i="1"/>
  <c r="F548" i="1"/>
  <c r="A296" i="1"/>
  <c r="F296" i="1"/>
  <c r="G296" i="1"/>
  <c r="F1076" i="1"/>
  <c r="G1076" i="1"/>
  <c r="C1061" i="1"/>
  <c r="F1061" i="1"/>
  <c r="G1061" i="1"/>
  <c r="A704" i="1"/>
  <c r="F704" i="1"/>
  <c r="G704" i="1"/>
  <c r="A162" i="1"/>
  <c r="F162" i="1"/>
  <c r="G162" i="1"/>
  <c r="A796" i="1"/>
  <c r="F796" i="1"/>
  <c r="G796" i="1"/>
  <c r="A378" i="1"/>
  <c r="F378" i="1"/>
  <c r="G378" i="1"/>
  <c r="F1296" i="1"/>
  <c r="G1296" i="1"/>
  <c r="A599" i="1"/>
  <c r="F599" i="1"/>
  <c r="G599" i="1"/>
  <c r="A169" i="1"/>
  <c r="F169" i="1"/>
  <c r="G169" i="1"/>
  <c r="A433" i="1"/>
  <c r="C433" i="1"/>
  <c r="F433" i="1"/>
  <c r="G433" i="1"/>
  <c r="A401" i="1"/>
  <c r="F401" i="1"/>
  <c r="G401" i="1"/>
  <c r="A327" i="1"/>
  <c r="F327" i="1"/>
  <c r="G327" i="1"/>
  <c r="F1006" i="1"/>
  <c r="G1006" i="1"/>
  <c r="F1165" i="1"/>
  <c r="G1165" i="1"/>
  <c r="A84" i="1"/>
  <c r="F84" i="1"/>
  <c r="G84" i="1"/>
  <c r="A305" i="1"/>
  <c r="F305" i="1"/>
  <c r="G305" i="1"/>
  <c r="F992" i="1"/>
  <c r="G992" i="1"/>
  <c r="A383" i="1"/>
  <c r="F383" i="1"/>
  <c r="G383" i="1"/>
  <c r="F1012" i="1"/>
  <c r="G1012" i="1"/>
  <c r="F1136" i="1"/>
  <c r="G1136" i="1"/>
  <c r="F1236" i="1"/>
  <c r="G1236" i="1"/>
  <c r="C1229" i="1"/>
  <c r="F1229" i="1"/>
  <c r="G1229" i="1"/>
  <c r="F994" i="1"/>
  <c r="G994" i="1"/>
  <c r="A89" i="1"/>
  <c r="F89" i="1"/>
  <c r="G89" i="1"/>
  <c r="A732" i="1"/>
  <c r="F732" i="1"/>
  <c r="G732" i="1"/>
  <c r="A87" i="1"/>
  <c r="F87" i="1"/>
  <c r="G87" i="1"/>
  <c r="C990" i="1"/>
  <c r="F990" i="1"/>
  <c r="G990" i="1"/>
  <c r="A72" i="1"/>
  <c r="F72" i="1"/>
  <c r="G72" i="1"/>
  <c r="A413" i="1"/>
  <c r="F413" i="1"/>
  <c r="G413" i="1"/>
  <c r="A374" i="1"/>
  <c r="F374" i="1"/>
  <c r="G374" i="1"/>
  <c r="A78" i="1"/>
  <c r="F78" i="1"/>
  <c r="G78" i="1"/>
  <c r="A110" i="1"/>
  <c r="F110" i="1"/>
  <c r="G110" i="1"/>
  <c r="A851" i="1"/>
  <c r="F851" i="1"/>
  <c r="G851" i="1"/>
  <c r="A749" i="1"/>
  <c r="F749" i="1"/>
  <c r="G749" i="1"/>
  <c r="A336" i="1"/>
  <c r="F1191" i="1"/>
  <c r="G1191" i="1"/>
  <c r="F1127" i="1"/>
  <c r="G1127" i="1"/>
  <c r="A649" i="1"/>
  <c r="F649" i="1"/>
  <c r="G649" i="1"/>
  <c r="A460" i="1"/>
  <c r="C460" i="1"/>
  <c r="F460" i="1"/>
  <c r="G460" i="1"/>
  <c r="A465" i="1"/>
  <c r="F465" i="1"/>
  <c r="G465" i="1"/>
  <c r="F942" i="1"/>
  <c r="G942" i="1"/>
  <c r="A398" i="1"/>
  <c r="F398" i="1"/>
  <c r="G398" i="1"/>
  <c r="A112" i="1"/>
  <c r="F112" i="1"/>
  <c r="G112" i="1"/>
  <c r="F963" i="1"/>
  <c r="G963" i="1"/>
  <c r="F1299" i="1"/>
  <c r="G1299" i="1"/>
  <c r="A150" i="1"/>
  <c r="C150" i="1"/>
  <c r="F150" i="1"/>
  <c r="G150" i="1"/>
  <c r="F1007" i="1"/>
  <c r="G1007" i="1"/>
  <c r="F1018" i="1"/>
  <c r="G1018" i="1"/>
  <c r="A130" i="1"/>
  <c r="F130" i="1"/>
  <c r="G130" i="1"/>
  <c r="F1277" i="1"/>
  <c r="G1277" i="1"/>
  <c r="F1298" i="1"/>
  <c r="G1298" i="1"/>
  <c r="A873" i="1"/>
  <c r="F873" i="1"/>
  <c r="G873" i="1"/>
  <c r="A878" i="1"/>
  <c r="F878" i="1"/>
  <c r="G878" i="1"/>
  <c r="A898" i="1"/>
  <c r="C898" i="1"/>
  <c r="F898" i="1"/>
  <c r="G898" i="1"/>
  <c r="A686" i="1"/>
  <c r="F686" i="1"/>
  <c r="G686" i="1"/>
  <c r="F1227" i="1"/>
  <c r="G1227" i="1"/>
  <c r="F1237" i="1"/>
  <c r="G1237" i="1"/>
  <c r="A237" i="1"/>
  <c r="F237" i="1"/>
  <c r="G237" i="1"/>
  <c r="A500" i="1"/>
  <c r="F500" i="1"/>
  <c r="G500" i="1"/>
  <c r="A745" i="1"/>
  <c r="F745" i="1"/>
  <c r="G745" i="1"/>
  <c r="A761" i="1"/>
  <c r="C761" i="1"/>
  <c r="F761" i="1"/>
  <c r="G761" i="1"/>
  <c r="A32" i="1"/>
  <c r="F32" i="1"/>
  <c r="G32" i="1"/>
  <c r="C1177" i="1"/>
  <c r="F1177" i="1"/>
  <c r="G1177" i="1"/>
  <c r="F1156" i="1"/>
  <c r="G1156" i="1"/>
  <c r="F1332" i="1"/>
  <c r="G1332" i="1"/>
  <c r="C1119" i="1"/>
  <c r="F1119" i="1"/>
  <c r="G1119" i="1"/>
  <c r="A609" i="1"/>
  <c r="F609" i="1"/>
  <c r="G609" i="1"/>
  <c r="A191" i="1"/>
  <c r="C191" i="1"/>
  <c r="F191" i="1"/>
  <c r="G191" i="1"/>
  <c r="A109" i="1"/>
  <c r="C109" i="1"/>
  <c r="F109" i="1"/>
  <c r="G109" i="1"/>
  <c r="F926" i="1"/>
  <c r="G926" i="1"/>
  <c r="C1308" i="1"/>
  <c r="F1308" i="1"/>
  <c r="G1308" i="1"/>
  <c r="A239" i="1"/>
  <c r="F239" i="1"/>
  <c r="G239" i="1"/>
  <c r="A158" i="1"/>
  <c r="C158" i="1"/>
  <c r="F158" i="1"/>
  <c r="G158" i="1"/>
  <c r="A273" i="1"/>
  <c r="F273" i="1"/>
  <c r="G273" i="1"/>
  <c r="A505" i="1"/>
  <c r="A497" i="1"/>
  <c r="A492" i="1"/>
  <c r="A766" i="1"/>
  <c r="C766" i="1"/>
  <c r="F766" i="1"/>
  <c r="G766" i="1"/>
  <c r="A219" i="1"/>
  <c r="C219" i="1"/>
  <c r="F219" i="1"/>
  <c r="G219" i="1"/>
  <c r="F1108" i="1"/>
  <c r="G1108" i="1"/>
  <c r="A176" i="1"/>
  <c r="F176" i="1"/>
  <c r="G176" i="1"/>
  <c r="A690" i="1"/>
  <c r="F690" i="1"/>
  <c r="G690" i="1"/>
  <c r="A443" i="1"/>
  <c r="F443" i="1"/>
  <c r="G443" i="1"/>
  <c r="A213" i="1"/>
  <c r="F213" i="1"/>
  <c r="G213" i="1"/>
  <c r="A268" i="1"/>
  <c r="F268" i="1"/>
  <c r="G268" i="1"/>
  <c r="A385" i="1"/>
  <c r="F385" i="1"/>
  <c r="G385" i="1"/>
  <c r="A409" i="1"/>
  <c r="F409" i="1"/>
  <c r="G409" i="1"/>
  <c r="A739" i="1"/>
  <c r="F739" i="1"/>
  <c r="G739" i="1"/>
  <c r="A524" i="1"/>
  <c r="C524" i="1"/>
  <c r="F524" i="1"/>
  <c r="G524" i="1"/>
  <c r="A862" i="1"/>
  <c r="F862" i="1"/>
  <c r="G862" i="1"/>
  <c r="F1256" i="1"/>
  <c r="G1256" i="1"/>
  <c r="C1337" i="1"/>
  <c r="F1337" i="1"/>
  <c r="G1337" i="1"/>
  <c r="A235" i="1"/>
  <c r="F235" i="1"/>
  <c r="G235" i="1"/>
  <c r="A263" i="1"/>
  <c r="C263" i="1"/>
  <c r="F263" i="1"/>
  <c r="G263" i="1"/>
  <c r="A128" i="1"/>
  <c r="F128" i="1"/>
  <c r="G128" i="1"/>
  <c r="F1116" i="1"/>
  <c r="G1116" i="1"/>
  <c r="A457" i="1"/>
  <c r="C457" i="1"/>
  <c r="F457" i="1"/>
  <c r="G457" i="1"/>
  <c r="A542" i="1"/>
  <c r="C542" i="1"/>
  <c r="D542" i="1"/>
  <c r="E542" i="1"/>
  <c r="F542" i="1"/>
  <c r="F1077" i="1"/>
  <c r="G1077" i="1"/>
  <c r="C948" i="1"/>
  <c r="F948" i="1"/>
  <c r="G948" i="1"/>
  <c r="A91" i="1"/>
  <c r="F91" i="1"/>
  <c r="G91" i="1"/>
  <c r="A85" i="1"/>
  <c r="F85" i="1"/>
  <c r="G85" i="1"/>
  <c r="A646" i="1"/>
  <c r="F646" i="1"/>
  <c r="G646" i="1"/>
  <c r="A177" i="1"/>
  <c r="F177" i="1"/>
  <c r="G177" i="1"/>
  <c r="F1335" i="1"/>
  <c r="G1335" i="1"/>
  <c r="A278" i="1"/>
  <c r="F278" i="1"/>
  <c r="G278" i="1"/>
  <c r="A415" i="1"/>
  <c r="F415" i="1"/>
  <c r="G415" i="1"/>
  <c r="A170" i="1"/>
  <c r="F170" i="1"/>
  <c r="G170" i="1"/>
  <c r="A799" i="1"/>
  <c r="F799" i="1"/>
  <c r="G799" i="1"/>
  <c r="F1230" i="1"/>
  <c r="G1230" i="1"/>
  <c r="C1281" i="1"/>
  <c r="F1281" i="1"/>
  <c r="G1281" i="1"/>
  <c r="A313" i="1"/>
  <c r="F313" i="1"/>
  <c r="G313" i="1"/>
  <c r="A42" i="1"/>
  <c r="F42" i="1"/>
  <c r="A596" i="1"/>
  <c r="F596" i="1"/>
  <c r="G596" i="1"/>
  <c r="A535" i="1"/>
  <c r="C535" i="1"/>
  <c r="D535" i="1"/>
  <c r="E535" i="1"/>
  <c r="F535" i="1"/>
  <c r="F1067" i="1"/>
  <c r="G1067" i="1"/>
  <c r="A218" i="1"/>
  <c r="C218" i="1"/>
  <c r="F218" i="1"/>
  <c r="G218" i="1"/>
  <c r="F904" i="1"/>
  <c r="G904" i="1"/>
  <c r="A647" i="1"/>
  <c r="F647" i="1"/>
  <c r="G647" i="1"/>
  <c r="F1141" i="1"/>
  <c r="G1141" i="1"/>
  <c r="A540" i="1"/>
  <c r="C540" i="1"/>
  <c r="D540" i="1"/>
  <c r="E540" i="1"/>
  <c r="F540" i="1"/>
  <c r="A498" i="1"/>
  <c r="A750" i="1"/>
  <c r="C750" i="1"/>
  <c r="F750" i="1"/>
  <c r="G750" i="1"/>
  <c r="A605" i="1"/>
  <c r="C605" i="1"/>
  <c r="F605" i="1"/>
  <c r="G605" i="1"/>
  <c r="A650" i="1"/>
  <c r="F650" i="1"/>
  <c r="G650" i="1"/>
  <c r="A597" i="1"/>
  <c r="F597" i="1"/>
  <c r="G597" i="1"/>
  <c r="F1059" i="1"/>
  <c r="G1059" i="1"/>
  <c r="A259" i="1"/>
  <c r="F259" i="1"/>
  <c r="G259" i="1"/>
  <c r="F1260" i="1"/>
  <c r="G1260" i="1"/>
  <c r="A204" i="1"/>
  <c r="F204" i="1"/>
  <c r="G204" i="1"/>
  <c r="A26" i="1"/>
  <c r="F26" i="1"/>
  <c r="G26" i="1"/>
  <c r="A95" i="1"/>
  <c r="F95" i="1"/>
  <c r="G95" i="1"/>
  <c r="C901" i="1"/>
  <c r="F901" i="1"/>
  <c r="G901" i="1"/>
  <c r="C1371" i="1"/>
  <c r="F1371" i="1"/>
  <c r="G1371" i="1"/>
  <c r="A543" i="1"/>
  <c r="C543" i="1"/>
  <c r="D543" i="1"/>
  <c r="E543" i="1"/>
  <c r="F543" i="1"/>
  <c r="F1043" i="1"/>
  <c r="G1043" i="1"/>
  <c r="A64" i="1"/>
  <c r="F64" i="1"/>
  <c r="G64" i="1"/>
  <c r="A442" i="1"/>
  <c r="F442" i="1"/>
  <c r="G442" i="1"/>
  <c r="A657" i="1"/>
  <c r="F657" i="1"/>
  <c r="G657" i="1"/>
  <c r="C996" i="1"/>
  <c r="F996" i="1"/>
  <c r="G996" i="1"/>
  <c r="F1011" i="1"/>
  <c r="G1011" i="1"/>
  <c r="F1094" i="1"/>
  <c r="G1094" i="1"/>
  <c r="A888" i="1"/>
  <c r="C888" i="1"/>
  <c r="F888" i="1"/>
  <c r="G888" i="1"/>
  <c r="F1135" i="1"/>
  <c r="G1135" i="1"/>
  <c r="F1255" i="1"/>
  <c r="G1255" i="1"/>
  <c r="F1248" i="1"/>
  <c r="G1248" i="1"/>
  <c r="F1262" i="1"/>
  <c r="G1262" i="1"/>
  <c r="A794" i="1"/>
  <c r="F794" i="1"/>
  <c r="G794" i="1"/>
  <c r="A831" i="1"/>
  <c r="F831" i="1"/>
  <c r="G831" i="1"/>
  <c r="F1024" i="1"/>
  <c r="G1024" i="1"/>
  <c r="A304" i="1"/>
  <c r="F304" i="1"/>
  <c r="G304" i="1"/>
  <c r="A353" i="1"/>
  <c r="F353" i="1"/>
  <c r="G353" i="1"/>
  <c r="A621" i="1"/>
  <c r="C621" i="1"/>
  <c r="F621" i="1"/>
  <c r="G621" i="1"/>
  <c r="A343" i="1"/>
  <c r="C343" i="1"/>
  <c r="F343" i="1"/>
  <c r="G343" i="1"/>
  <c r="A203" i="1"/>
  <c r="C203" i="1"/>
  <c r="F203" i="1"/>
  <c r="G203" i="1"/>
  <c r="A82" i="1"/>
  <c r="F82" i="1"/>
  <c r="G82" i="1"/>
  <c r="A577" i="1"/>
  <c r="C577" i="1"/>
  <c r="D577" i="1"/>
  <c r="E577" i="1"/>
  <c r="F577" i="1"/>
  <c r="A516" i="1"/>
  <c r="C516" i="1"/>
  <c r="D516" i="1"/>
  <c r="E516" i="1"/>
  <c r="F516" i="1"/>
  <c r="A391" i="1"/>
  <c r="F391" i="1"/>
  <c r="G391" i="1"/>
  <c r="F1102" i="1"/>
  <c r="G1102" i="1"/>
  <c r="A183" i="1"/>
  <c r="F183" i="1"/>
  <c r="G183" i="1"/>
  <c r="C945" i="1"/>
  <c r="F945" i="1"/>
  <c r="G945" i="1"/>
  <c r="A7" i="1"/>
  <c r="F7" i="1"/>
  <c r="G7" i="1"/>
  <c r="A46" i="1"/>
  <c r="C46" i="1"/>
  <c r="F46" i="1"/>
  <c r="G46" i="1"/>
  <c r="A226" i="1"/>
  <c r="C226" i="1"/>
  <c r="F226" i="1"/>
  <c r="G226" i="1"/>
  <c r="F984" i="1"/>
  <c r="G984" i="1"/>
  <c r="A152" i="1"/>
  <c r="C152" i="1"/>
  <c r="F152" i="1"/>
  <c r="G152" i="1"/>
  <c r="F957" i="1"/>
  <c r="G957" i="1"/>
  <c r="A437" i="1"/>
  <c r="F437" i="1"/>
  <c r="G437" i="1"/>
  <c r="A819" i="1"/>
  <c r="C819" i="1"/>
  <c r="F819" i="1"/>
  <c r="G819" i="1"/>
  <c r="A241" i="1"/>
  <c r="F241" i="1"/>
  <c r="G241" i="1"/>
  <c r="F968" i="1"/>
  <c r="G968" i="1"/>
  <c r="F1212" i="1"/>
  <c r="G1212" i="1"/>
  <c r="F1129" i="1"/>
  <c r="G1129" i="1"/>
  <c r="C1324" i="1"/>
  <c r="F1324" i="1"/>
  <c r="G1324" i="1"/>
  <c r="F1095" i="1"/>
  <c r="G1095" i="1"/>
  <c r="A59" i="1"/>
  <c r="F59" i="1"/>
  <c r="G59" i="1"/>
  <c r="A453" i="1"/>
  <c r="C453" i="1"/>
  <c r="F453" i="1"/>
  <c r="F1100" i="1"/>
  <c r="G1100" i="1"/>
  <c r="A620" i="1"/>
  <c r="F620" i="1"/>
  <c r="G620" i="1"/>
  <c r="A852" i="1"/>
  <c r="C852" i="1"/>
  <c r="F852" i="1"/>
  <c r="G852" i="1"/>
  <c r="F1370" i="1"/>
  <c r="G1370" i="1"/>
  <c r="A147" i="1"/>
  <c r="F147" i="1"/>
  <c r="G147" i="1"/>
  <c r="F1327" i="1"/>
  <c r="G1327" i="1"/>
  <c r="F1295" i="1"/>
  <c r="G1295" i="1"/>
  <c r="A735" i="1"/>
  <c r="F735" i="1"/>
  <c r="G735" i="1"/>
  <c r="C1080" i="1"/>
  <c r="F1080" i="1"/>
  <c r="G1080" i="1"/>
  <c r="A448" i="1"/>
  <c r="F448" i="1"/>
  <c r="G448" i="1"/>
  <c r="A168" i="1"/>
  <c r="C168" i="1"/>
  <c r="F168" i="1"/>
  <c r="G168" i="1"/>
  <c r="A399" i="1"/>
  <c r="F399" i="1"/>
  <c r="G399" i="1"/>
  <c r="F1188" i="1"/>
  <c r="G1188" i="1"/>
  <c r="C1075" i="1"/>
  <c r="F1075" i="1"/>
  <c r="G1075" i="1"/>
  <c r="A62" i="1"/>
  <c r="F62" i="1"/>
  <c r="G62" i="1"/>
  <c r="A29" i="1"/>
  <c r="F29" i="1"/>
  <c r="G29" i="1"/>
  <c r="A464" i="1"/>
  <c r="F464" i="1"/>
  <c r="G464" i="1"/>
  <c r="A118" i="1"/>
  <c r="F118" i="1"/>
  <c r="G118" i="1"/>
  <c r="A136" i="1"/>
  <c r="F136" i="1"/>
  <c r="G136" i="1"/>
  <c r="A365" i="1"/>
  <c r="F365" i="1"/>
  <c r="G365" i="1"/>
  <c r="A405" i="1"/>
  <c r="F405" i="1"/>
  <c r="G405" i="1"/>
  <c r="F1015" i="1"/>
  <c r="G1015" i="1"/>
  <c r="C1245" i="1"/>
  <c r="F1245" i="1"/>
  <c r="G1245" i="1"/>
  <c r="F1228" i="1"/>
  <c r="G1228" i="1"/>
  <c r="A809" i="1"/>
  <c r="F809" i="1"/>
  <c r="G809" i="1"/>
  <c r="A142" i="1"/>
  <c r="F142" i="1"/>
  <c r="G142" i="1"/>
  <c r="F1363" i="1"/>
  <c r="G1363" i="1"/>
  <c r="A845" i="1"/>
  <c r="C845" i="1"/>
  <c r="F845" i="1"/>
  <c r="G845" i="1"/>
  <c r="A244" i="1"/>
  <c r="F244" i="1"/>
  <c r="G244" i="1"/>
  <c r="A140" i="1"/>
  <c r="F140" i="1"/>
  <c r="G140" i="1"/>
  <c r="A92" i="1"/>
  <c r="C92" i="1"/>
  <c r="F92" i="1"/>
  <c r="G92" i="1"/>
  <c r="A12" i="1"/>
  <c r="F12" i="1"/>
  <c r="G12" i="1"/>
  <c r="A578" i="1"/>
  <c r="C578" i="1"/>
  <c r="D578" i="1"/>
  <c r="E578" i="1"/>
  <c r="F578" i="1"/>
  <c r="A572" i="1"/>
  <c r="C572" i="1"/>
  <c r="D572" i="1"/>
  <c r="E572" i="1"/>
  <c r="F572" i="1"/>
  <c r="A81" i="1"/>
  <c r="F81" i="1"/>
  <c r="G81" i="1"/>
  <c r="A670" i="1"/>
  <c r="F670" i="1"/>
  <c r="G670" i="1"/>
  <c r="A120" i="1"/>
  <c r="F120" i="1"/>
  <c r="G120" i="1"/>
  <c r="A504" i="1"/>
  <c r="A231" i="1"/>
  <c r="F231" i="1"/>
  <c r="G231" i="1"/>
  <c r="A58" i="1"/>
  <c r="F58" i="1"/>
  <c r="G58" i="1"/>
  <c r="A54" i="1"/>
  <c r="F54" i="1"/>
  <c r="G54" i="1"/>
  <c r="A406" i="1"/>
  <c r="F406" i="1"/>
  <c r="G406" i="1"/>
  <c r="A144" i="1"/>
  <c r="C144" i="1"/>
  <c r="F144" i="1"/>
  <c r="G144" i="1"/>
  <c r="A509" i="1"/>
  <c r="C509" i="1"/>
  <c r="F509" i="1"/>
  <c r="G509" i="1"/>
  <c r="A306" i="1"/>
  <c r="C306" i="1"/>
  <c r="F306" i="1"/>
  <c r="G306" i="1"/>
  <c r="A667" i="1"/>
  <c r="F667" i="1"/>
  <c r="G667" i="1"/>
  <c r="A843" i="1"/>
  <c r="F843" i="1"/>
  <c r="G843" i="1"/>
  <c r="F906" i="1"/>
  <c r="G906" i="1"/>
  <c r="A24" i="1"/>
  <c r="F24" i="1"/>
  <c r="G24" i="1"/>
  <c r="F1185" i="1"/>
  <c r="G1185" i="1"/>
  <c r="F1151" i="1"/>
  <c r="G1151" i="1"/>
  <c r="C1062" i="1"/>
  <c r="F1062" i="1"/>
  <c r="G1062" i="1"/>
  <c r="F1050" i="1"/>
  <c r="G1050" i="1"/>
  <c r="A559" i="1"/>
  <c r="C559" i="1"/>
  <c r="D559" i="1"/>
  <c r="E559" i="1"/>
  <c r="F559" i="1"/>
  <c r="F1117" i="1"/>
  <c r="G1117" i="1"/>
  <c r="A531" i="1"/>
  <c r="C531" i="1"/>
  <c r="D531" i="1"/>
  <c r="E531" i="1"/>
  <c r="F531" i="1"/>
  <c r="A224" i="1"/>
  <c r="F224" i="1"/>
  <c r="G224" i="1"/>
  <c r="F1110" i="1"/>
  <c r="G1110" i="1"/>
  <c r="F1233" i="1"/>
  <c r="G1233" i="1"/>
  <c r="A868" i="1"/>
  <c r="F868" i="1"/>
  <c r="G868" i="1"/>
  <c r="F1216" i="1"/>
  <c r="G1216" i="1"/>
  <c r="F1303" i="1"/>
  <c r="G1303" i="1"/>
  <c r="A265" i="1"/>
  <c r="F265" i="1"/>
  <c r="G265" i="1"/>
  <c r="A713" i="1"/>
  <c r="F713" i="1"/>
  <c r="G713" i="1"/>
  <c r="A826" i="1"/>
  <c r="C826" i="1"/>
  <c r="F826" i="1"/>
  <c r="G826" i="1"/>
  <c r="F1285" i="1"/>
  <c r="G1285" i="1"/>
  <c r="H1285" i="1"/>
  <c r="A160" i="1"/>
  <c r="F160" i="1"/>
  <c r="G160" i="1"/>
  <c r="F1013" i="1"/>
  <c r="G1013" i="1"/>
  <c r="A839" i="1"/>
  <c r="C839" i="1"/>
  <c r="F839" i="1"/>
  <c r="G839" i="1"/>
  <c r="F1037" i="1"/>
  <c r="G1037" i="1"/>
  <c r="A96" i="1"/>
  <c r="F96" i="1"/>
  <c r="F1107" i="1"/>
  <c r="G1107" i="1"/>
  <c r="A157" i="1"/>
  <c r="F157" i="1"/>
  <c r="G157" i="1"/>
  <c r="A487" i="1"/>
  <c r="F487" i="1"/>
  <c r="G487" i="1"/>
  <c r="A658" i="1"/>
  <c r="F658" i="1"/>
  <c r="G658" i="1"/>
  <c r="F1101" i="1"/>
  <c r="G1101" i="1"/>
  <c r="A295" i="1"/>
  <c r="F295" i="1"/>
  <c r="G295" i="1"/>
  <c r="A414" i="1"/>
  <c r="C414" i="1"/>
  <c r="F414" i="1"/>
  <c r="G414" i="1"/>
  <c r="A549" i="1"/>
  <c r="C549" i="1"/>
  <c r="D549" i="1"/>
  <c r="E549" i="1"/>
  <c r="F549" i="1"/>
  <c r="C1055" i="1"/>
  <c r="F1055" i="1"/>
  <c r="G1055" i="1"/>
  <c r="F988" i="1"/>
  <c r="G988" i="1"/>
  <c r="A366" i="1"/>
  <c r="F366" i="1"/>
  <c r="G366" i="1"/>
  <c r="A215" i="1"/>
  <c r="C215" i="1"/>
  <c r="F215" i="1"/>
  <c r="G215" i="1"/>
  <c r="C1202" i="1"/>
  <c r="F1202" i="1"/>
  <c r="G1202" i="1"/>
  <c r="C1182" i="1"/>
  <c r="F1182" i="1"/>
  <c r="G1182" i="1"/>
  <c r="F931" i="1"/>
  <c r="G931" i="1"/>
  <c r="F1249" i="1"/>
  <c r="G1249" i="1"/>
  <c r="F1274" i="1"/>
  <c r="G1274" i="1"/>
  <c r="F1264" i="1"/>
  <c r="G1264" i="1"/>
  <c r="F1269" i="1"/>
  <c r="G1269" i="1"/>
  <c r="A725" i="1"/>
  <c r="C725" i="1"/>
  <c r="F725" i="1"/>
  <c r="G725" i="1"/>
  <c r="A709" i="1"/>
  <c r="F709" i="1"/>
  <c r="G709" i="1"/>
  <c r="A392" i="1"/>
  <c r="F392" i="1"/>
  <c r="G392" i="1"/>
  <c r="A682" i="1"/>
  <c r="F682" i="1"/>
  <c r="G682" i="1"/>
  <c r="A331" i="1"/>
  <c r="F331" i="1"/>
  <c r="G331" i="1"/>
  <c r="F959" i="1"/>
  <c r="G959" i="1"/>
  <c r="A111" i="1"/>
  <c r="C111" i="1"/>
  <c r="F111" i="1"/>
  <c r="G111" i="1"/>
  <c r="A388" i="1"/>
  <c r="F388" i="1"/>
  <c r="G388" i="1"/>
  <c r="C1103" i="1"/>
  <c r="F1103" i="1"/>
  <c r="G1103" i="1"/>
  <c r="A847" i="1"/>
  <c r="F847" i="1"/>
  <c r="G847" i="1"/>
  <c r="A557" i="1"/>
  <c r="C557" i="1"/>
  <c r="D557" i="1"/>
  <c r="E557" i="1"/>
  <c r="F557" i="1"/>
  <c r="A687" i="1"/>
  <c r="F687" i="1"/>
  <c r="G687" i="1"/>
  <c r="A396" i="1"/>
  <c r="F396" i="1"/>
  <c r="G396" i="1"/>
  <c r="C1040" i="1"/>
  <c r="F1040" i="1"/>
  <c r="G1040" i="1"/>
  <c r="A439" i="1"/>
  <c r="C439" i="1"/>
  <c r="F439" i="1"/>
  <c r="G439" i="1"/>
  <c r="A146" i="1"/>
  <c r="F146" i="1"/>
  <c r="G146" i="1"/>
  <c r="A153" i="1"/>
  <c r="F153" i="1"/>
  <c r="G153" i="1"/>
  <c r="A262" i="1"/>
  <c r="F262" i="1"/>
  <c r="G262" i="1"/>
  <c r="F966" i="1"/>
  <c r="G966" i="1"/>
  <c r="F1022" i="1"/>
  <c r="G1022" i="1"/>
  <c r="C1035" i="1"/>
  <c r="F1035" i="1"/>
  <c r="G1035" i="1"/>
  <c r="F1060" i="1"/>
  <c r="G1060" i="1"/>
  <c r="C1084" i="1"/>
  <c r="F1084" i="1"/>
  <c r="G1084" i="1"/>
  <c r="F1113" i="1"/>
  <c r="G1113" i="1"/>
  <c r="A866" i="1"/>
  <c r="F866" i="1"/>
  <c r="G866" i="1"/>
  <c r="A820" i="1"/>
  <c r="C820" i="1"/>
  <c r="F820" i="1"/>
  <c r="G820" i="1"/>
  <c r="A791" i="1"/>
  <c r="F791" i="1"/>
  <c r="G791" i="1"/>
  <c r="A857" i="1"/>
  <c r="C857" i="1"/>
  <c r="F857" i="1"/>
  <c r="G857" i="1"/>
  <c r="A765" i="1"/>
  <c r="F765" i="1"/>
  <c r="G765" i="1"/>
  <c r="A534" i="1"/>
  <c r="C534" i="1"/>
  <c r="D534" i="1"/>
  <c r="E534" i="1"/>
  <c r="F534" i="1"/>
  <c r="C1115" i="1"/>
  <c r="F1115" i="1"/>
  <c r="G1115" i="1"/>
  <c r="A581" i="1"/>
  <c r="F581" i="1"/>
  <c r="G581" i="1"/>
  <c r="A38" i="1"/>
  <c r="F38" i="1"/>
  <c r="A564" i="1"/>
  <c r="C564" i="1"/>
  <c r="D564" i="1"/>
  <c r="E564" i="1"/>
  <c r="F564" i="1"/>
  <c r="A651" i="1"/>
  <c r="F651" i="1"/>
  <c r="G651" i="1"/>
  <c r="A630" i="1"/>
  <c r="F630" i="1"/>
  <c r="G630" i="1"/>
  <c r="A688" i="1"/>
  <c r="C688" i="1"/>
  <c r="F688" i="1"/>
  <c r="G688" i="1"/>
  <c r="A755" i="1"/>
  <c r="F755" i="1"/>
  <c r="G755" i="1"/>
  <c r="C1163" i="1"/>
  <c r="F1163" i="1"/>
  <c r="G1163" i="1"/>
  <c r="F910" i="1"/>
  <c r="G910" i="1"/>
  <c r="A724" i="1"/>
  <c r="F724" i="1"/>
  <c r="G724" i="1"/>
  <c r="F930" i="1"/>
  <c r="G930" i="1"/>
  <c r="C1005" i="1"/>
  <c r="F1005" i="1"/>
  <c r="G1005" i="1"/>
  <c r="A574" i="1"/>
  <c r="C574" i="1"/>
  <c r="D574" i="1"/>
  <c r="E574" i="1"/>
  <c r="F574" i="1"/>
  <c r="A494" i="1"/>
  <c r="A260" i="1"/>
  <c r="C260" i="1"/>
  <c r="F260" i="1"/>
  <c r="G260" i="1"/>
  <c r="A537" i="1"/>
  <c r="C537" i="1"/>
  <c r="D537" i="1"/>
  <c r="E537" i="1"/>
  <c r="F537" i="1"/>
  <c r="A225" i="1"/>
  <c r="F225" i="1"/>
  <c r="G225" i="1"/>
  <c r="F961" i="1"/>
  <c r="G961" i="1"/>
  <c r="F938" i="1"/>
  <c r="G938" i="1"/>
  <c r="A66" i="1"/>
  <c r="F66" i="1"/>
  <c r="G66" i="1"/>
  <c r="A427" i="1"/>
  <c r="F427" i="1"/>
  <c r="G427" i="1"/>
  <c r="F970" i="1"/>
  <c r="G970" i="1"/>
  <c r="F1214" i="1"/>
  <c r="G1214" i="1"/>
  <c r="F1377" i="1"/>
  <c r="G1377" i="1"/>
  <c r="A835" i="1"/>
  <c r="F835" i="1"/>
  <c r="G835" i="1"/>
  <c r="A496" i="1"/>
  <c r="A654" i="1"/>
  <c r="F654" i="1"/>
  <c r="G654" i="1"/>
  <c r="A137" i="1"/>
  <c r="F137" i="1"/>
  <c r="G137" i="1"/>
  <c r="C1310" i="1"/>
  <c r="F1310" i="1"/>
  <c r="G1310" i="1"/>
  <c r="A123" i="1"/>
  <c r="F123" i="1"/>
  <c r="G123" i="1"/>
  <c r="A753" i="1"/>
  <c r="F753" i="1"/>
  <c r="G753" i="1"/>
  <c r="A3" i="1"/>
  <c r="C3" i="1"/>
  <c r="F3" i="1"/>
  <c r="G3" i="1"/>
  <c r="F1023" i="1"/>
  <c r="G1023" i="1"/>
  <c r="A777" i="1"/>
  <c r="C777" i="1"/>
  <c r="F777" i="1"/>
  <c r="G777" i="1"/>
  <c r="A40" i="1"/>
  <c r="F40" i="1"/>
  <c r="G40" i="1"/>
  <c r="F1183" i="1"/>
  <c r="G1183" i="1"/>
  <c r="A541" i="1"/>
  <c r="C541" i="1"/>
  <c r="D541" i="1"/>
  <c r="E541" i="1"/>
  <c r="F541" i="1"/>
  <c r="A190" i="1"/>
  <c r="F190" i="1"/>
  <c r="G190" i="1"/>
  <c r="C1114" i="1"/>
  <c r="F1114" i="1"/>
  <c r="G1114" i="1"/>
  <c r="A186" i="1"/>
  <c r="C186" i="1"/>
  <c r="F186" i="1"/>
  <c r="G186" i="1"/>
  <c r="A612" i="1"/>
  <c r="F612" i="1"/>
  <c r="G612" i="1"/>
  <c r="A493" i="1"/>
  <c r="F493" i="1"/>
  <c r="G493" i="1"/>
  <c r="C1220" i="1"/>
  <c r="F1220" i="1"/>
  <c r="G1220" i="1"/>
  <c r="F1219" i="1"/>
  <c r="G1219" i="1"/>
  <c r="A75" i="1"/>
  <c r="F75" i="1"/>
  <c r="G75" i="1"/>
  <c r="F956" i="1"/>
  <c r="G956" i="1"/>
  <c r="A36" i="1"/>
  <c r="F36" i="1"/>
  <c r="G36" i="1"/>
  <c r="A602" i="1"/>
  <c r="F602" i="1"/>
  <c r="G602" i="1"/>
  <c r="A122" i="1"/>
  <c r="F122" i="1"/>
  <c r="G122" i="1"/>
  <c r="A555" i="1"/>
  <c r="C555" i="1"/>
  <c r="D555" i="1"/>
  <c r="E555" i="1"/>
  <c r="F555" i="1"/>
  <c r="A30" i="1"/>
  <c r="F30" i="1"/>
  <c r="G30" i="1"/>
  <c r="A571" i="1"/>
  <c r="C571" i="1"/>
  <c r="D571" i="1"/>
  <c r="E571" i="1"/>
  <c r="F571" i="1"/>
  <c r="A568" i="1"/>
  <c r="C568" i="1"/>
  <c r="D568" i="1"/>
  <c r="E568" i="1"/>
  <c r="F568" i="1"/>
  <c r="F1025" i="1"/>
  <c r="G1025" i="1"/>
  <c r="A257" i="1"/>
  <c r="C257" i="1"/>
  <c r="F257" i="1"/>
  <c r="G257" i="1"/>
  <c r="A15" i="1"/>
  <c r="F15" i="1"/>
  <c r="G15" i="1"/>
  <c r="A328" i="1"/>
  <c r="F328" i="1"/>
  <c r="G328" i="1"/>
  <c r="A818" i="1"/>
  <c r="C818" i="1"/>
  <c r="F818" i="1"/>
  <c r="G818" i="1"/>
  <c r="C1033" i="1"/>
  <c r="F1033" i="1"/>
  <c r="G1033" i="1"/>
  <c r="A65" i="1"/>
  <c r="F65" i="1"/>
  <c r="G65" i="1"/>
  <c r="F1128" i="1"/>
  <c r="G1128" i="1"/>
  <c r="C1362" i="1"/>
  <c r="F1362" i="1"/>
  <c r="G1362" i="1"/>
  <c r="A436" i="1"/>
  <c r="F436" i="1"/>
  <c r="G436" i="1"/>
  <c r="F1028" i="1"/>
  <c r="G1028" i="1"/>
  <c r="A608" i="1"/>
  <c r="C608" i="1"/>
  <c r="F608" i="1"/>
  <c r="G608" i="1"/>
  <c r="A322" i="1"/>
  <c r="F322" i="1"/>
  <c r="G322" i="1"/>
  <c r="A16" i="1"/>
  <c r="F16" i="1"/>
  <c r="G16" i="1"/>
  <c r="A349" i="1"/>
  <c r="C349" i="1"/>
  <c r="F349" i="1"/>
  <c r="G349" i="1"/>
  <c r="A279" i="1"/>
  <c r="F279" i="1"/>
  <c r="G279" i="1"/>
  <c r="A526" i="1"/>
  <c r="C526" i="1"/>
  <c r="F526" i="1"/>
  <c r="G526" i="1"/>
  <c r="C969" i="1"/>
  <c r="F969" i="1"/>
  <c r="G969" i="1"/>
  <c r="F1069" i="1"/>
  <c r="G1069" i="1"/>
  <c r="C1242" i="1"/>
  <c r="F1242" i="1"/>
  <c r="G1242" i="1"/>
  <c r="A893" i="1"/>
  <c r="F893" i="1"/>
  <c r="G893" i="1"/>
  <c r="A227" i="1"/>
  <c r="F227" i="1"/>
  <c r="G227" i="1"/>
  <c r="A610" i="1"/>
  <c r="F610" i="1"/>
  <c r="G610" i="1"/>
  <c r="A363" i="1"/>
  <c r="F363" i="1"/>
  <c r="G363" i="1"/>
  <c r="A101" i="1"/>
  <c r="C101" i="1"/>
  <c r="D101" i="1"/>
  <c r="E101" i="1"/>
  <c r="F101" i="1"/>
  <c r="A434" i="1"/>
  <c r="F434" i="1"/>
  <c r="G434" i="1"/>
  <c r="F932" i="1"/>
  <c r="G932" i="1"/>
  <c r="F953" i="1"/>
  <c r="G953" i="1"/>
  <c r="C1162" i="1"/>
  <c r="F1162" i="1"/>
  <c r="G1162" i="1"/>
  <c r="F1122" i="1"/>
  <c r="G1122" i="1"/>
  <c r="A588" i="1"/>
  <c r="F588" i="1"/>
  <c r="G588" i="1"/>
  <c r="A628" i="1"/>
  <c r="C628" i="1"/>
  <c r="F628" i="1"/>
  <c r="G628" i="1"/>
  <c r="A849" i="1"/>
  <c r="F849" i="1"/>
  <c r="G849" i="1"/>
  <c r="A270" i="1"/>
  <c r="F270" i="1"/>
  <c r="G270" i="1"/>
  <c r="A506" i="1"/>
  <c r="A429" i="1"/>
  <c r="F429" i="1"/>
  <c r="G429" i="1"/>
  <c r="A324" i="1"/>
  <c r="F324" i="1"/>
  <c r="G324" i="1"/>
  <c r="A356" i="1"/>
  <c r="C356" i="1"/>
  <c r="F356" i="1"/>
  <c r="G356" i="1"/>
  <c r="A318" i="1"/>
  <c r="F318" i="1"/>
  <c r="G318" i="1"/>
  <c r="F1039" i="1"/>
  <c r="G1039" i="1"/>
  <c r="A148" i="1"/>
  <c r="F148" i="1"/>
  <c r="G148" i="1"/>
  <c r="F1068" i="1"/>
  <c r="G1068" i="1"/>
  <c r="A316" i="1"/>
  <c r="C316" i="1"/>
  <c r="F316" i="1"/>
  <c r="G316" i="1"/>
  <c r="A56" i="1"/>
  <c r="F56" i="1"/>
  <c r="G56" i="1"/>
  <c r="A39" i="1"/>
  <c r="F39" i="1"/>
  <c r="G39" i="1"/>
  <c r="A520" i="1"/>
  <c r="F520" i="1"/>
  <c r="G520" i="1"/>
  <c r="F1036" i="1"/>
  <c r="G1036" i="1"/>
  <c r="F1180" i="1"/>
  <c r="G1180" i="1"/>
  <c r="F1194" i="1"/>
  <c r="G1194" i="1"/>
  <c r="A872" i="1"/>
  <c r="F872" i="1"/>
  <c r="G872" i="1"/>
  <c r="A874" i="1"/>
  <c r="F874" i="1"/>
  <c r="G874" i="1"/>
  <c r="F1271" i="1"/>
  <c r="G1271" i="1"/>
  <c r="A573" i="1"/>
  <c r="C573" i="1"/>
  <c r="D573" i="1"/>
  <c r="E573" i="1"/>
  <c r="F573" i="1"/>
  <c r="A43" i="1"/>
  <c r="C43" i="1"/>
  <c r="F43" i="1"/>
  <c r="G43" i="1"/>
  <c r="A37" i="1"/>
  <c r="F37" i="1"/>
  <c r="G37" i="1"/>
  <c r="A88" i="1"/>
  <c r="F88" i="1"/>
  <c r="G88" i="1"/>
  <c r="A507" i="1"/>
  <c r="A220" i="1"/>
  <c r="C220" i="1"/>
  <c r="F220" i="1"/>
  <c r="G220" i="1"/>
  <c r="A585" i="1"/>
  <c r="F585" i="1"/>
  <c r="G585" i="1"/>
  <c r="A348" i="1"/>
  <c r="F348" i="1"/>
  <c r="G348" i="1"/>
  <c r="F1157" i="1"/>
  <c r="G1157" i="1"/>
  <c r="A817" i="1"/>
  <c r="F817" i="1"/>
  <c r="G817" i="1"/>
  <c r="A106" i="1"/>
  <c r="C106" i="1"/>
  <c r="F106" i="1"/>
  <c r="G106" i="1"/>
  <c r="A441" i="1"/>
  <c r="F441" i="1"/>
  <c r="G441" i="1"/>
  <c r="F1140" i="1"/>
  <c r="G1140" i="1"/>
  <c r="A342" i="1"/>
  <c r="F342" i="1"/>
  <c r="G342" i="1"/>
  <c r="A221" i="1"/>
  <c r="F221" i="1"/>
  <c r="G221" i="1"/>
  <c r="A751" i="1"/>
  <c r="F751" i="1"/>
  <c r="G751" i="1"/>
  <c r="F1133" i="1"/>
  <c r="G1133" i="1"/>
  <c r="A181" i="1"/>
  <c r="C181" i="1"/>
  <c r="F181" i="1"/>
  <c r="G181" i="1"/>
  <c r="A762" i="1"/>
  <c r="F762" i="1"/>
  <c r="G762" i="1"/>
  <c r="A310" i="1"/>
  <c r="F310" i="1"/>
  <c r="G310" i="1"/>
  <c r="A810" i="1"/>
  <c r="C810" i="1"/>
  <c r="F810" i="1"/>
  <c r="G810" i="1"/>
  <c r="C1057" i="1"/>
  <c r="F1057" i="1"/>
  <c r="G1057" i="1"/>
  <c r="C1204" i="1"/>
  <c r="F1204" i="1"/>
  <c r="G1204" i="1"/>
  <c r="A865" i="1"/>
  <c r="F865" i="1"/>
  <c r="G865" i="1"/>
  <c r="A885" i="1"/>
  <c r="F885" i="1"/>
  <c r="G885" i="1"/>
  <c r="A896" i="1"/>
  <c r="F896" i="1"/>
  <c r="G896" i="1"/>
  <c r="F1239" i="1"/>
  <c r="G1239" i="1"/>
  <c r="A675" i="1"/>
  <c r="C675" i="1"/>
  <c r="F675" i="1"/>
  <c r="G675" i="1"/>
  <c r="A779" i="1"/>
  <c r="C779" i="1"/>
  <c r="F779" i="1"/>
  <c r="G779" i="1"/>
  <c r="A662" i="1"/>
  <c r="F662" i="1"/>
  <c r="G662" i="1"/>
  <c r="F921" i="1"/>
  <c r="G921" i="1"/>
  <c r="A271" i="1"/>
  <c r="F271" i="1"/>
  <c r="G271" i="1"/>
  <c r="F1357" i="1"/>
  <c r="G1357" i="1"/>
  <c r="A695" i="1"/>
  <c r="F695" i="1"/>
  <c r="G695" i="1"/>
  <c r="A292" i="1"/>
  <c r="F292" i="1"/>
  <c r="G292" i="1"/>
  <c r="A41" i="1"/>
  <c r="F41" i="1"/>
  <c r="G41" i="1"/>
  <c r="A206" i="1"/>
  <c r="F206" i="1"/>
  <c r="G206" i="1"/>
  <c r="A756" i="1"/>
  <c r="F756" i="1"/>
  <c r="G756" i="1"/>
  <c r="F999" i="1"/>
  <c r="G999" i="1"/>
  <c r="A21" i="1"/>
  <c r="C21" i="1"/>
  <c r="F21" i="1"/>
  <c r="G21" i="1"/>
  <c r="A438" i="1"/>
  <c r="F438" i="1"/>
  <c r="G438" i="1"/>
  <c r="A536" i="1"/>
  <c r="C536" i="1"/>
  <c r="D536" i="1"/>
  <c r="E536" i="1"/>
  <c r="F536" i="1"/>
  <c r="A456" i="1"/>
  <c r="F456" i="1"/>
  <c r="G456" i="1"/>
  <c r="A661" i="1"/>
  <c r="F661" i="1"/>
  <c r="G661" i="1"/>
  <c r="A664" i="1"/>
  <c r="F664" i="1"/>
  <c r="G664" i="1"/>
  <c r="F1193" i="1"/>
  <c r="G1193" i="1"/>
  <c r="A483" i="1"/>
  <c r="F483" i="1"/>
  <c r="G483" i="1"/>
  <c r="A185" i="1"/>
  <c r="F185" i="1"/>
  <c r="G185" i="1"/>
  <c r="F1081" i="1"/>
  <c r="G1081" i="1"/>
  <c r="A180" i="1"/>
  <c r="F180" i="1"/>
  <c r="G180" i="1"/>
  <c r="A234" i="1"/>
  <c r="F234" i="1"/>
  <c r="G234" i="1"/>
  <c r="A57" i="1"/>
  <c r="F57" i="1"/>
  <c r="G57" i="1"/>
  <c r="C1331" i="1"/>
  <c r="F1331" i="1"/>
  <c r="G1331" i="1"/>
  <c r="A149" i="1"/>
  <c r="C149" i="1"/>
  <c r="F149" i="1"/>
  <c r="G149" i="1"/>
  <c r="C1049" i="1"/>
  <c r="F1049" i="1"/>
  <c r="G1049" i="1"/>
  <c r="A607" i="1"/>
  <c r="C607" i="1"/>
  <c r="F607" i="1"/>
  <c r="G607" i="1"/>
  <c r="A614" i="1"/>
  <c r="F614" i="1"/>
  <c r="G614" i="1"/>
  <c r="A198" i="1"/>
  <c r="F198" i="1"/>
  <c r="G198" i="1"/>
  <c r="C958" i="1"/>
  <c r="F958" i="1"/>
  <c r="G958" i="1"/>
  <c r="A344" i="1"/>
  <c r="F344" i="1"/>
  <c r="G344" i="1"/>
  <c r="C925" i="1"/>
  <c r="F925" i="1"/>
  <c r="G925" i="1"/>
  <c r="A721" i="1"/>
  <c r="F721" i="1"/>
  <c r="G721" i="1"/>
  <c r="F924" i="1"/>
  <c r="G924" i="1"/>
  <c r="A380" i="1"/>
  <c r="C380" i="1"/>
  <c r="F380" i="1"/>
  <c r="G380" i="1"/>
  <c r="A455" i="1"/>
  <c r="F455" i="1"/>
  <c r="G455" i="1"/>
  <c r="A684" i="1"/>
  <c r="F684" i="1"/>
  <c r="G684" i="1"/>
  <c r="C964" i="1"/>
  <c r="F964" i="1"/>
  <c r="G964" i="1"/>
  <c r="F1155" i="1"/>
  <c r="G1155" i="1"/>
  <c r="F1179" i="1"/>
  <c r="G1179" i="1"/>
  <c r="A830" i="1"/>
  <c r="F830" i="1"/>
  <c r="G830" i="1"/>
  <c r="A737" i="1"/>
  <c r="F737" i="1"/>
  <c r="G737" i="1"/>
  <c r="A850" i="1"/>
  <c r="F850" i="1"/>
  <c r="G850" i="1"/>
  <c r="A254" i="1"/>
  <c r="F254" i="1"/>
  <c r="G254" i="1"/>
  <c r="A267" i="1"/>
  <c r="F267" i="1"/>
  <c r="G267" i="1"/>
  <c r="F967" i="1"/>
  <c r="G967" i="1"/>
  <c r="F1164" i="1"/>
  <c r="G1164" i="1"/>
  <c r="A418" i="1"/>
  <c r="F418" i="1"/>
  <c r="G418" i="1"/>
  <c r="A49" i="1"/>
  <c r="F49" i="1"/>
  <c r="G49" i="1"/>
  <c r="A73" i="1"/>
  <c r="F73" i="1"/>
  <c r="G73" i="1"/>
  <c r="A769" i="1"/>
  <c r="C769" i="1"/>
  <c r="F769" i="1"/>
  <c r="G769" i="1"/>
  <c r="F1020" i="1"/>
  <c r="G1020" i="1"/>
  <c r="A681" i="1"/>
  <c r="F681" i="1"/>
  <c r="G681" i="1"/>
  <c r="C1189" i="1"/>
  <c r="F1189" i="1"/>
  <c r="G1189" i="1"/>
  <c r="A518" i="1"/>
  <c r="C518" i="1"/>
  <c r="D518" i="1"/>
  <c r="E518" i="1"/>
  <c r="F518" i="1"/>
  <c r="A759" i="1"/>
  <c r="F759" i="1"/>
  <c r="G759" i="1"/>
  <c r="A217" i="1"/>
  <c r="F217" i="1"/>
  <c r="G217" i="1"/>
  <c r="A286" i="1"/>
  <c r="F286" i="1"/>
  <c r="G286" i="1"/>
  <c r="A288" i="1"/>
  <c r="F288" i="1"/>
  <c r="G288" i="1"/>
  <c r="A616" i="1"/>
  <c r="C616" i="1"/>
  <c r="F616" i="1"/>
  <c r="G616" i="1"/>
  <c r="C1205" i="1"/>
  <c r="D1205" i="1"/>
  <c r="E1205" i="1"/>
  <c r="F1205" i="1"/>
  <c r="A369" i="1"/>
  <c r="F369" i="1"/>
  <c r="G369" i="1"/>
  <c r="C1176" i="1"/>
  <c r="F1176" i="1"/>
  <c r="G1176" i="1"/>
  <c r="C1215" i="1"/>
  <c r="F1215" i="1"/>
  <c r="G1215" i="1"/>
  <c r="C1195" i="1"/>
  <c r="F1195" i="1"/>
  <c r="G1195" i="1"/>
  <c r="F1234" i="1"/>
  <c r="G1234" i="1"/>
  <c r="A880" i="1"/>
  <c r="F880" i="1"/>
  <c r="G880" i="1"/>
  <c r="F1374" i="1"/>
  <c r="G1374" i="1"/>
  <c r="F1273" i="1"/>
  <c r="G1273" i="1"/>
  <c r="F1305" i="1"/>
  <c r="G1305" i="1"/>
  <c r="F1139" i="1"/>
  <c r="G1139" i="1"/>
  <c r="A93" i="1"/>
  <c r="F93" i="1"/>
  <c r="G93" i="1"/>
  <c r="A834" i="1"/>
  <c r="F834" i="1"/>
  <c r="G834" i="1"/>
  <c r="A486" i="1"/>
  <c r="F486" i="1"/>
  <c r="G486" i="1"/>
  <c r="A814" i="1"/>
  <c r="F814" i="1"/>
  <c r="G814" i="1"/>
  <c r="A853" i="1"/>
  <c r="F853" i="1"/>
  <c r="G853" i="1"/>
  <c r="A763" i="1"/>
  <c r="F763" i="1"/>
  <c r="G763" i="1"/>
  <c r="A461" i="1"/>
  <c r="F461" i="1"/>
  <c r="G461" i="1"/>
  <c r="A720" i="1"/>
  <c r="F720" i="1"/>
  <c r="G720" i="1"/>
  <c r="A211" i="1"/>
  <c r="F211" i="1"/>
  <c r="G211" i="1"/>
  <c r="A693" i="1"/>
  <c r="F693" i="1"/>
  <c r="G693" i="1"/>
  <c r="C935" i="1"/>
  <c r="F935" i="1"/>
  <c r="G935" i="1"/>
  <c r="F1154" i="1"/>
  <c r="G1154" i="1"/>
  <c r="F1021" i="1"/>
  <c r="G1021" i="1"/>
  <c r="A258" i="1"/>
  <c r="F258" i="1"/>
  <c r="G258" i="1"/>
  <c r="A248" i="1"/>
  <c r="C248" i="1"/>
  <c r="F248" i="1"/>
  <c r="G248" i="1"/>
  <c r="A44" i="1"/>
  <c r="F44" i="1"/>
  <c r="G44" i="1"/>
  <c r="A624" i="1"/>
  <c r="F624" i="1"/>
  <c r="G624" i="1"/>
  <c r="F1001" i="1"/>
  <c r="G1001" i="1"/>
  <c r="A253" i="1"/>
  <c r="F253" i="1"/>
  <c r="G253" i="1"/>
  <c r="A408" i="1"/>
  <c r="C408" i="1"/>
  <c r="F408" i="1"/>
  <c r="G408" i="1"/>
  <c r="F986" i="1"/>
  <c r="G986" i="1"/>
  <c r="A521" i="1"/>
  <c r="F521" i="1"/>
  <c r="F1143" i="1"/>
  <c r="G1143" i="1"/>
  <c r="F1211" i="1"/>
  <c r="G1211" i="1"/>
  <c r="F1198" i="1"/>
  <c r="G1198" i="1"/>
  <c r="F1246" i="1"/>
  <c r="G1246" i="1"/>
  <c r="A863" i="1"/>
  <c r="F863" i="1"/>
  <c r="G863" i="1"/>
  <c r="A867" i="1"/>
  <c r="F867" i="1"/>
  <c r="G867" i="1"/>
  <c r="A869" i="1"/>
  <c r="F869" i="1"/>
  <c r="G869" i="1"/>
  <c r="A889" i="1"/>
  <c r="F889" i="1"/>
  <c r="G889" i="1"/>
  <c r="F1238" i="1"/>
  <c r="G1238" i="1"/>
  <c r="F1320" i="1"/>
  <c r="G1320" i="1"/>
  <c r="A243" i="1"/>
  <c r="C243" i="1"/>
  <c r="F243" i="1"/>
  <c r="G243" i="1"/>
  <c r="A395" i="1"/>
  <c r="C395" i="1"/>
  <c r="F395" i="1"/>
  <c r="G395" i="1"/>
  <c r="A372" i="1"/>
  <c r="F372" i="1"/>
  <c r="G372" i="1"/>
  <c r="A712" i="1"/>
  <c r="F712" i="1"/>
  <c r="G712" i="1"/>
  <c r="A298" i="1"/>
  <c r="F298" i="1"/>
  <c r="G298" i="1"/>
  <c r="A290" i="1"/>
  <c r="F290" i="1"/>
  <c r="G290" i="1"/>
  <c r="A666" i="1"/>
  <c r="F666" i="1"/>
  <c r="G666" i="1"/>
  <c r="A68" i="1"/>
  <c r="F68" i="1"/>
  <c r="G68" i="1"/>
  <c r="A141" i="1"/>
  <c r="C141" i="1"/>
  <c r="F141" i="1"/>
  <c r="G141" i="1"/>
  <c r="A677" i="1"/>
  <c r="C677" i="1"/>
  <c r="F677" i="1"/>
  <c r="G677" i="1"/>
  <c r="F1096" i="1"/>
  <c r="G1096" i="1"/>
  <c r="F1045" i="1"/>
  <c r="G1045" i="1"/>
  <c r="A808" i="1"/>
  <c r="F808" i="1"/>
  <c r="G808" i="1"/>
  <c r="A317" i="1"/>
  <c r="F317" i="1"/>
  <c r="G317" i="1"/>
  <c r="A108" i="1"/>
  <c r="F108" i="1"/>
  <c r="G108" i="1"/>
  <c r="F981" i="1"/>
  <c r="G981" i="1"/>
  <c r="A501" i="1"/>
  <c r="C1058" i="1"/>
  <c r="F1058" i="1"/>
  <c r="G1058" i="1"/>
  <c r="A742" i="1"/>
  <c r="F742" i="1"/>
  <c r="G742" i="1"/>
  <c r="A740" i="1"/>
  <c r="C740" i="1"/>
  <c r="F740" i="1"/>
  <c r="G740" i="1"/>
  <c r="A659" i="1"/>
  <c r="F659" i="1"/>
  <c r="G659" i="1"/>
  <c r="A784" i="1"/>
  <c r="F784" i="1"/>
  <c r="G784" i="1"/>
  <c r="A284" i="1"/>
  <c r="F284" i="1"/>
  <c r="G284" i="1"/>
  <c r="C972" i="1"/>
  <c r="F972" i="1"/>
  <c r="G972" i="1"/>
  <c r="F1213" i="1"/>
  <c r="G1213" i="1"/>
  <c r="C1244" i="1"/>
  <c r="F1244" i="1"/>
  <c r="G1244" i="1"/>
  <c r="F1321" i="1"/>
  <c r="G1321" i="1"/>
  <c r="F1221" i="1"/>
  <c r="G1221" i="1"/>
  <c r="F1270" i="1"/>
  <c r="G1270" i="1"/>
  <c r="A801" i="1"/>
  <c r="F801" i="1"/>
  <c r="G801" i="1"/>
  <c r="A879" i="1"/>
  <c r="F879" i="1"/>
  <c r="G879" i="1"/>
  <c r="A856" i="1"/>
  <c r="F856" i="1"/>
  <c r="G856" i="1"/>
  <c r="A676" i="1"/>
  <c r="F676" i="1"/>
  <c r="G676" i="1"/>
  <c r="H676" i="1"/>
  <c r="A576" i="1"/>
  <c r="C576" i="1"/>
  <c r="D576" i="1"/>
  <c r="E576" i="1"/>
  <c r="F576" i="1"/>
  <c r="A717" i="1"/>
  <c r="F717" i="1"/>
  <c r="G717" i="1"/>
  <c r="A367" i="1"/>
  <c r="F367" i="1"/>
  <c r="G367" i="1"/>
  <c r="A775" i="1"/>
  <c r="C775" i="1"/>
  <c r="F775" i="1"/>
  <c r="G775" i="1"/>
  <c r="A394" i="1"/>
  <c r="F394" i="1"/>
  <c r="G394" i="1"/>
  <c r="A463" i="1"/>
  <c r="F463" i="1"/>
  <c r="G463" i="1"/>
  <c r="A67" i="1"/>
  <c r="F67" i="1"/>
  <c r="G67" i="1"/>
  <c r="A382" i="1"/>
  <c r="F382" i="1"/>
  <c r="G382" i="1"/>
  <c r="C1158" i="1"/>
  <c r="F1158" i="1"/>
  <c r="G1158" i="1"/>
  <c r="F1112" i="1"/>
  <c r="G1112" i="1"/>
  <c r="F1092" i="1"/>
  <c r="G1092" i="1"/>
  <c r="A655" i="1"/>
  <c r="F655" i="1"/>
  <c r="G655" i="1"/>
  <c r="F1372" i="1"/>
  <c r="G1372" i="1"/>
  <c r="F1120" i="1"/>
  <c r="G1120" i="1"/>
  <c r="A232" i="1"/>
  <c r="F232" i="1"/>
  <c r="G232" i="1"/>
  <c r="A354" i="1"/>
  <c r="B354" i="1"/>
  <c r="F354" i="1"/>
  <c r="G354" i="1"/>
  <c r="A637" i="1"/>
  <c r="F637" i="1"/>
  <c r="G637" i="1"/>
  <c r="F1287" i="1"/>
  <c r="G1287" i="1"/>
  <c r="A178" i="1"/>
  <c r="C178" i="1"/>
  <c r="F178" i="1"/>
  <c r="G178" i="1"/>
  <c r="A17" i="1"/>
  <c r="F17" i="1"/>
  <c r="G17" i="1"/>
  <c r="A370" i="1"/>
  <c r="F370" i="1"/>
  <c r="G370" i="1"/>
  <c r="A468" i="1"/>
  <c r="C468" i="1"/>
  <c r="F468" i="1"/>
  <c r="G468" i="1"/>
  <c r="F1041" i="1"/>
  <c r="G1041" i="1"/>
  <c r="C971" i="1"/>
  <c r="F971" i="1"/>
  <c r="G971" i="1"/>
  <c r="A530" i="1"/>
  <c r="F530" i="1"/>
  <c r="G530" i="1"/>
  <c r="A795" i="1"/>
  <c r="F795" i="1"/>
  <c r="G795" i="1"/>
  <c r="A884" i="1"/>
  <c r="F884" i="1"/>
  <c r="G884" i="1"/>
  <c r="F1261" i="1"/>
  <c r="G1261" i="1"/>
  <c r="F1222" i="1"/>
  <c r="G1222" i="1"/>
  <c r="F1378" i="1"/>
  <c r="G1378" i="1"/>
  <c r="F1144" i="1"/>
  <c r="G1144" i="1"/>
  <c r="F1147" i="1"/>
  <c r="G1147" i="1"/>
  <c r="A125" i="1"/>
  <c r="F125" i="1"/>
  <c r="G125" i="1"/>
  <c r="A314" i="1"/>
  <c r="F314" i="1"/>
  <c r="G314" i="1"/>
  <c r="A804" i="1"/>
  <c r="C804" i="1"/>
  <c r="F804" i="1"/>
  <c r="F1171" i="1"/>
  <c r="G1171" i="1"/>
  <c r="A694" i="1"/>
  <c r="F694" i="1"/>
  <c r="G694" i="1"/>
  <c r="A598" i="1"/>
  <c r="F598" i="1"/>
  <c r="G598" i="1"/>
  <c r="A124" i="1"/>
  <c r="F124" i="1"/>
  <c r="G124" i="1"/>
  <c r="A618" i="1"/>
  <c r="F618" i="1"/>
  <c r="G618" i="1"/>
  <c r="A828" i="1"/>
  <c r="F828" i="1"/>
  <c r="G828" i="1"/>
  <c r="A802" i="1"/>
  <c r="C802" i="1"/>
  <c r="F802" i="1"/>
  <c r="G802" i="1"/>
  <c r="F1304" i="1"/>
  <c r="G1304" i="1"/>
  <c r="A143" i="1"/>
  <c r="F143" i="1"/>
  <c r="G143" i="1"/>
  <c r="A729" i="1"/>
  <c r="F729" i="1"/>
  <c r="G729" i="1"/>
  <c r="A76" i="1"/>
  <c r="C76" i="1"/>
  <c r="F76" i="1"/>
  <c r="G76" i="1"/>
  <c r="A18" i="1"/>
  <c r="F18" i="1"/>
  <c r="G18" i="1"/>
  <c r="A351" i="1"/>
  <c r="C351" i="1"/>
  <c r="F351" i="1"/>
  <c r="G351" i="1"/>
  <c r="A546" i="1"/>
  <c r="C546" i="1"/>
  <c r="D546" i="1"/>
  <c r="E546" i="1"/>
  <c r="F546" i="1"/>
  <c r="A97" i="1"/>
  <c r="F97" i="1"/>
  <c r="G97" i="1"/>
  <c r="A117" i="1"/>
  <c r="F117" i="1"/>
  <c r="G117" i="1"/>
  <c r="A384" i="1"/>
  <c r="C384" i="1"/>
  <c r="F384" i="1"/>
  <c r="A357" i="1"/>
  <c r="F357" i="1"/>
  <c r="G357" i="1"/>
  <c r="A723" i="1"/>
  <c r="F723" i="1"/>
  <c r="G723" i="1"/>
  <c r="A782" i="1"/>
  <c r="F782" i="1"/>
  <c r="G782" i="1"/>
  <c r="F1197" i="1"/>
  <c r="G1197" i="1"/>
  <c r="A891" i="1"/>
  <c r="F891" i="1"/>
  <c r="G891" i="1"/>
  <c r="C1250" i="1"/>
  <c r="F1250" i="1"/>
  <c r="G1250" i="1"/>
  <c r="F1375" i="1"/>
  <c r="G1375" i="1"/>
  <c r="A200" i="1"/>
  <c r="F200" i="1"/>
  <c r="G200" i="1"/>
  <c r="A844" i="1"/>
  <c r="F844" i="1"/>
  <c r="G844" i="1"/>
  <c r="F1366" i="1"/>
  <c r="G1366" i="1"/>
  <c r="A511" i="1"/>
  <c r="A276" i="1"/>
  <c r="C276" i="1"/>
  <c r="F276" i="1"/>
  <c r="G276" i="1"/>
  <c r="F1379" i="1"/>
  <c r="G1379" i="1"/>
  <c r="C1063" i="1"/>
  <c r="F1063" i="1"/>
  <c r="G1063" i="1"/>
  <c r="A699" i="1"/>
  <c r="C699" i="1"/>
  <c r="F699" i="1"/>
  <c r="G699" i="1"/>
  <c r="A145" i="1"/>
  <c r="F145" i="1"/>
  <c r="G145" i="1"/>
  <c r="A52" i="1"/>
  <c r="F52" i="1"/>
  <c r="G52" i="1"/>
  <c r="A48" i="1"/>
  <c r="F48" i="1"/>
  <c r="G48" i="1"/>
  <c r="A603" i="1"/>
  <c r="F603" i="1"/>
  <c r="G603" i="1"/>
  <c r="A635" i="1"/>
  <c r="F635" i="1"/>
  <c r="G635" i="1"/>
  <c r="A785" i="1"/>
  <c r="F785" i="1"/>
  <c r="G785" i="1"/>
  <c r="F1003" i="1"/>
  <c r="G1003" i="1"/>
  <c r="A375" i="1"/>
  <c r="F375" i="1"/>
  <c r="G375" i="1"/>
  <c r="A840" i="1"/>
  <c r="F840" i="1"/>
  <c r="G840" i="1"/>
  <c r="F1111" i="1"/>
  <c r="G1111" i="1"/>
  <c r="A743" i="1"/>
  <c r="F743" i="1"/>
  <c r="G743" i="1"/>
  <c r="H743" i="1"/>
  <c r="C909" i="1"/>
  <c r="F909" i="1"/>
  <c r="G909" i="1"/>
  <c r="A301" i="1"/>
  <c r="F301" i="1"/>
  <c r="G301" i="1"/>
  <c r="C1123" i="1"/>
  <c r="F1123" i="1"/>
  <c r="G1123" i="1"/>
  <c r="F1088" i="1"/>
  <c r="G1088" i="1"/>
  <c r="A776" i="1"/>
  <c r="F776" i="1"/>
  <c r="G776" i="1"/>
  <c r="A27" i="1"/>
  <c r="C27" i="1"/>
  <c r="F27" i="1"/>
  <c r="G27" i="1"/>
  <c r="A379" i="1"/>
  <c r="F379" i="1"/>
  <c r="G379" i="1"/>
  <c r="A350" i="1"/>
  <c r="F350" i="1"/>
  <c r="G350" i="1"/>
  <c r="A788" i="1"/>
  <c r="F788" i="1"/>
  <c r="G788" i="1"/>
  <c r="F1029" i="1"/>
  <c r="G1029" i="1"/>
  <c r="F1071" i="1"/>
  <c r="G1071" i="1"/>
  <c r="F1149" i="1"/>
  <c r="G1149" i="1"/>
  <c r="F1253" i="1"/>
  <c r="G1253" i="1"/>
  <c r="A842" i="1"/>
  <c r="F842" i="1"/>
  <c r="G842" i="1"/>
  <c r="F1172" i="1"/>
  <c r="F1070" i="1"/>
  <c r="G1070" i="1"/>
  <c r="C903" i="1"/>
  <c r="F903" i="1"/>
  <c r="G903" i="1"/>
  <c r="F982" i="1"/>
  <c r="G982" i="1"/>
  <c r="C1358" i="1"/>
  <c r="F1358" i="1"/>
  <c r="G1358" i="1"/>
  <c r="F1373" i="1"/>
  <c r="G1373" i="1"/>
  <c r="A583" i="1"/>
  <c r="C583" i="1"/>
  <c r="F583" i="1"/>
  <c r="G583" i="1"/>
  <c r="A640" i="1"/>
  <c r="F640" i="1"/>
  <c r="G640" i="1"/>
  <c r="A722" i="1"/>
  <c r="F722" i="1"/>
  <c r="G722" i="1"/>
  <c r="A151" i="1"/>
  <c r="F151" i="1"/>
  <c r="G151" i="1"/>
  <c r="A255" i="1"/>
  <c r="F255" i="1"/>
  <c r="G255" i="1"/>
  <c r="A167" i="1"/>
  <c r="F167" i="1"/>
  <c r="G167" i="1"/>
  <c r="F1283" i="1"/>
  <c r="G1283" i="1"/>
  <c r="A247" i="1"/>
  <c r="F247" i="1"/>
  <c r="G247" i="1"/>
  <c r="F907" i="1"/>
  <c r="G907" i="1"/>
  <c r="A368" i="1"/>
  <c r="F368" i="1"/>
  <c r="G368" i="1"/>
  <c r="F1053" i="1"/>
  <c r="G1053" i="1"/>
  <c r="A590" i="1"/>
  <c r="B590" i="1"/>
  <c r="F590" i="1"/>
  <c r="G590" i="1"/>
  <c r="A482" i="1"/>
  <c r="C482" i="1"/>
  <c r="F482" i="1"/>
  <c r="G482" i="1"/>
  <c r="A623" i="1"/>
  <c r="F623" i="1"/>
  <c r="G623" i="1"/>
  <c r="A638" i="1"/>
  <c r="F638" i="1"/>
  <c r="G638" i="1"/>
  <c r="A519" i="1"/>
  <c r="C519" i="1"/>
  <c r="D519" i="1"/>
  <c r="E519" i="1"/>
  <c r="F519" i="1"/>
  <c r="F1341" i="1"/>
  <c r="G1341" i="1"/>
  <c r="A563" i="1"/>
  <c r="C563" i="1"/>
  <c r="D563" i="1"/>
  <c r="E563" i="1"/>
  <c r="F563" i="1"/>
  <c r="F1074" i="1"/>
  <c r="G1074" i="1"/>
  <c r="A821" i="1"/>
  <c r="F821" i="1"/>
  <c r="G821" i="1"/>
  <c r="A584" i="1"/>
  <c r="C584" i="1"/>
  <c r="F584" i="1"/>
  <c r="G584" i="1"/>
  <c r="A846" i="1"/>
  <c r="F846" i="1"/>
  <c r="G846" i="1"/>
  <c r="A303" i="1"/>
  <c r="F303" i="1"/>
  <c r="G303" i="1"/>
  <c r="A102" i="1"/>
  <c r="C102" i="1"/>
  <c r="F102" i="1"/>
  <c r="G102" i="1"/>
  <c r="A282" i="1"/>
  <c r="F282" i="1"/>
  <c r="G282" i="1"/>
  <c r="A307" i="1"/>
  <c r="F307" i="1"/>
  <c r="G307" i="1"/>
  <c r="A727" i="1"/>
  <c r="F727" i="1"/>
  <c r="G727" i="1"/>
  <c r="A816" i="1"/>
  <c r="C816" i="1"/>
  <c r="F816" i="1"/>
  <c r="G816" i="1"/>
  <c r="C1200" i="1"/>
  <c r="F1200" i="1"/>
  <c r="G1200" i="1"/>
  <c r="A876" i="1"/>
  <c r="F876" i="1"/>
  <c r="G876" i="1"/>
  <c r="F1297" i="1"/>
  <c r="G1297" i="1"/>
  <c r="F923" i="1"/>
  <c r="G923" i="1"/>
  <c r="F1344" i="1"/>
  <c r="G1344" i="1"/>
  <c r="F1318" i="1"/>
  <c r="G1318" i="1"/>
  <c r="F1104" i="1"/>
  <c r="G1104" i="1"/>
  <c r="C1086" i="1"/>
  <c r="F1086" i="1"/>
  <c r="A716" i="1"/>
  <c r="F716" i="1"/>
  <c r="G716" i="1"/>
  <c r="A696" i="1"/>
  <c r="C696" i="1"/>
  <c r="F696" i="1"/>
  <c r="G696" i="1"/>
  <c r="A419" i="1"/>
  <c r="F419" i="1"/>
  <c r="G419" i="1"/>
  <c r="F1184" i="1"/>
  <c r="G1184" i="1"/>
  <c r="F1291" i="1"/>
  <c r="G1291" i="1"/>
  <c r="A154" i="1"/>
  <c r="C154" i="1"/>
  <c r="F154" i="1"/>
  <c r="G154" i="1"/>
  <c r="C913" i="1"/>
  <c r="F913" i="1"/>
  <c r="G913" i="1"/>
  <c r="A567" i="1"/>
  <c r="C567" i="1"/>
  <c r="D567" i="1"/>
  <c r="E567" i="1"/>
  <c r="F567" i="1"/>
  <c r="A643" i="1"/>
  <c r="F643" i="1"/>
  <c r="G643" i="1"/>
  <c r="A668" i="1"/>
  <c r="F668" i="1"/>
  <c r="G668" i="1"/>
  <c r="F1134" i="1"/>
  <c r="G1134" i="1"/>
  <c r="A386" i="1"/>
  <c r="C386" i="1"/>
  <c r="F386" i="1"/>
  <c r="G386" i="1"/>
  <c r="A454" i="1"/>
  <c r="F454" i="1"/>
  <c r="G454" i="1"/>
  <c r="F1312" i="1"/>
  <c r="G1312" i="1"/>
  <c r="A871" i="1"/>
  <c r="F871" i="1"/>
  <c r="G871" i="1"/>
  <c r="A881" i="1"/>
  <c r="F881" i="1"/>
  <c r="G881" i="1"/>
  <c r="F922" i="1"/>
  <c r="G922" i="1"/>
  <c r="C1315" i="1"/>
  <c r="F1315" i="1"/>
  <c r="G1315" i="1"/>
  <c r="F1289" i="1"/>
  <c r="G1289" i="1"/>
  <c r="A793" i="1"/>
  <c r="F793" i="1"/>
  <c r="G793" i="1"/>
  <c r="A98" i="1"/>
  <c r="C98" i="1"/>
  <c r="F98" i="1"/>
  <c r="G98" i="1"/>
  <c r="A629" i="1"/>
  <c r="F629" i="1"/>
  <c r="G629" i="1"/>
  <c r="A323" i="1"/>
  <c r="C323" i="1"/>
  <c r="F323" i="1"/>
  <c r="G323" i="1"/>
  <c r="F1294" i="1"/>
  <c r="G1294" i="1"/>
  <c r="A562" i="1"/>
  <c r="C562" i="1"/>
  <c r="D562" i="1"/>
  <c r="E562" i="1"/>
  <c r="F562" i="1"/>
  <c r="A333" i="1"/>
  <c r="F333" i="1"/>
  <c r="G333" i="1"/>
  <c r="A326" i="1"/>
  <c r="C326" i="1"/>
  <c r="F326" i="1"/>
  <c r="G326" i="1"/>
  <c r="A156" i="1"/>
  <c r="C156" i="1"/>
  <c r="F156" i="1"/>
  <c r="G156" i="1"/>
  <c r="A139" i="1"/>
  <c r="F139" i="1"/>
  <c r="G139" i="1"/>
  <c r="A210" i="1"/>
  <c r="C210" i="1"/>
  <c r="F210" i="1"/>
  <c r="G210" i="1"/>
  <c r="A471" i="1"/>
  <c r="F471" i="1"/>
  <c r="G471" i="1"/>
  <c r="A261" i="1"/>
  <c r="C261" i="1"/>
  <c r="F261" i="1"/>
  <c r="G261" i="1"/>
  <c r="A33" i="1"/>
  <c r="F33" i="1"/>
  <c r="G33" i="1"/>
  <c r="A477" i="1"/>
  <c r="F477" i="1"/>
  <c r="G477" i="1"/>
  <c r="A297" i="1"/>
  <c r="C297" i="1"/>
  <c r="F297" i="1"/>
  <c r="G297" i="1"/>
  <c r="C1078" i="1"/>
  <c r="F1078" i="1"/>
  <c r="G1078" i="1"/>
  <c r="F1065" i="1"/>
  <c r="G1065" i="1"/>
  <c r="F1118" i="1"/>
  <c r="G1118" i="1"/>
  <c r="F1019" i="1"/>
  <c r="G1019" i="1"/>
  <c r="F940" i="1"/>
  <c r="G940" i="1"/>
  <c r="A430" i="1"/>
  <c r="F430" i="1"/>
  <c r="G430" i="1"/>
  <c r="A361" i="1"/>
  <c r="F361" i="1"/>
  <c r="G361" i="1"/>
  <c r="A544" i="1"/>
  <c r="C544" i="1"/>
  <c r="D544" i="1"/>
  <c r="E544" i="1"/>
  <c r="F544" i="1"/>
  <c r="A281" i="1"/>
  <c r="F281" i="1"/>
  <c r="G281" i="1"/>
  <c r="A566" i="1"/>
  <c r="C566" i="1"/>
  <c r="D566" i="1"/>
  <c r="E566" i="1"/>
  <c r="F566" i="1"/>
  <c r="F1090" i="1"/>
  <c r="G1090" i="1"/>
  <c r="F1085" i="1"/>
  <c r="G1085" i="1"/>
  <c r="A188" i="1"/>
  <c r="F188" i="1"/>
  <c r="G188" i="1"/>
  <c r="A715" i="1"/>
  <c r="C715" i="1"/>
  <c r="F715" i="1"/>
  <c r="G715" i="1"/>
  <c r="A580" i="1"/>
  <c r="C580" i="1"/>
  <c r="D580" i="1"/>
  <c r="E580" i="1"/>
  <c r="F580" i="1"/>
  <c r="G580" i="1"/>
  <c r="A806" i="1"/>
  <c r="F806" i="1"/>
  <c r="G806" i="1"/>
  <c r="A718" i="1"/>
  <c r="F718" i="1"/>
  <c r="G718" i="1"/>
  <c r="A107" i="1"/>
  <c r="C107" i="1"/>
  <c r="F107" i="1"/>
  <c r="G107" i="1"/>
  <c r="A171" i="1"/>
  <c r="F171" i="1"/>
  <c r="G171" i="1"/>
  <c r="A771" i="1"/>
  <c r="F771" i="1"/>
  <c r="G771" i="1"/>
  <c r="C1186" i="1"/>
  <c r="F1186" i="1"/>
  <c r="G1186" i="1"/>
  <c r="F1132" i="1"/>
  <c r="G1132" i="1"/>
  <c r="C1326" i="1"/>
  <c r="F1326" i="1"/>
  <c r="G1326" i="1"/>
  <c r="F1345" i="1"/>
  <c r="G1345" i="1"/>
  <c r="A495" i="1"/>
  <c r="A201" i="1"/>
  <c r="F201" i="1"/>
  <c r="G201" i="1"/>
  <c r="A195" i="1"/>
  <c r="F195" i="1"/>
  <c r="G195" i="1"/>
  <c r="C905" i="1"/>
  <c r="F905" i="1"/>
  <c r="G905" i="1"/>
  <c r="A697" i="1"/>
  <c r="F697" i="1"/>
  <c r="G697" i="1"/>
  <c r="A209" i="1"/>
  <c r="F209" i="1"/>
  <c r="G209" i="1"/>
  <c r="A689" i="1"/>
  <c r="F689" i="1"/>
  <c r="G689" i="1"/>
  <c r="A772" i="1"/>
  <c r="F772" i="1"/>
  <c r="G772" i="1"/>
  <c r="A672" i="1"/>
  <c r="F672" i="1"/>
  <c r="G672" i="1"/>
  <c r="A432" i="1"/>
  <c r="F432" i="1"/>
  <c r="G432" i="1"/>
  <c r="A678" i="1"/>
  <c r="F678" i="1"/>
  <c r="G678" i="1"/>
  <c r="A738" i="1"/>
  <c r="F738" i="1"/>
  <c r="G738" i="1"/>
  <c r="A741" i="1"/>
  <c r="F741" i="1"/>
  <c r="G741" i="1"/>
  <c r="A746" i="1"/>
  <c r="F746" i="1"/>
  <c r="G746" i="1"/>
  <c r="A355" i="1"/>
  <c r="F355" i="1"/>
  <c r="G355" i="1"/>
  <c r="A115" i="1"/>
  <c r="F115" i="1"/>
  <c r="G115" i="1"/>
  <c r="F1311" i="1"/>
  <c r="G1311" i="1"/>
  <c r="C1342" i="1"/>
  <c r="F1342" i="1"/>
  <c r="G1342" i="1"/>
  <c r="A502" i="1"/>
  <c r="A705" i="1"/>
  <c r="F705" i="1"/>
  <c r="G705" i="1"/>
  <c r="A275" i="1"/>
  <c r="C275" i="1"/>
  <c r="F275" i="1"/>
  <c r="G275" i="1"/>
  <c r="A173" i="1"/>
  <c r="C173" i="1"/>
  <c r="F173" i="1"/>
  <c r="G173" i="1"/>
  <c r="F936" i="1"/>
  <c r="G936" i="1"/>
  <c r="A269" i="1"/>
  <c r="F269" i="1"/>
  <c r="G269" i="1"/>
  <c r="C1360" i="1"/>
  <c r="F1360" i="1"/>
  <c r="G1360" i="1"/>
  <c r="C927" i="1"/>
  <c r="F927" i="1"/>
  <c r="G927" i="1"/>
  <c r="A55" i="1"/>
  <c r="F55" i="1"/>
  <c r="G55" i="1"/>
  <c r="F1178" i="1"/>
  <c r="G1178" i="1"/>
  <c r="A135" i="1"/>
  <c r="F135" i="1"/>
  <c r="G135" i="1"/>
  <c r="A707" i="1"/>
  <c r="F707" i="1"/>
  <c r="G707" i="1"/>
  <c r="A606" i="1"/>
  <c r="C606" i="1"/>
  <c r="F606" i="1"/>
  <c r="G606" i="1"/>
  <c r="A545" i="1"/>
  <c r="C545" i="1"/>
  <c r="D545" i="1"/>
  <c r="E545" i="1"/>
  <c r="F545" i="1"/>
  <c r="A420" i="1"/>
  <c r="C420" i="1"/>
  <c r="F420" i="1"/>
  <c r="G420" i="1"/>
  <c r="F1302" i="1"/>
  <c r="G1302" i="1"/>
  <c r="A702" i="1"/>
  <c r="C702" i="1"/>
  <c r="F702" i="1"/>
  <c r="G702" i="1"/>
  <c r="A131" i="1"/>
  <c r="C131" i="1"/>
  <c r="F131" i="1"/>
  <c r="G131" i="1"/>
  <c r="A103" i="1"/>
  <c r="F103" i="1"/>
  <c r="G103" i="1"/>
  <c r="A550" i="1"/>
  <c r="C550" i="1"/>
  <c r="D550" i="1"/>
  <c r="E550" i="1"/>
  <c r="F550" i="1"/>
  <c r="A256" i="1"/>
  <c r="F256" i="1"/>
  <c r="F1032" i="1"/>
  <c r="G1032" i="1"/>
  <c r="F951" i="1"/>
  <c r="G951" i="1"/>
  <c r="A783" i="1"/>
  <c r="F783" i="1"/>
  <c r="G783" i="1"/>
  <c r="F1054" i="1"/>
  <c r="G1054" i="1"/>
  <c r="F1376" i="1"/>
  <c r="G1376" i="1"/>
  <c r="F1010" i="1"/>
  <c r="G1010" i="1"/>
  <c r="F1106" i="1"/>
  <c r="G1106" i="1"/>
  <c r="F1121" i="1"/>
  <c r="G1121" i="1"/>
  <c r="A462" i="1"/>
  <c r="C462" i="1"/>
  <c r="F462" i="1"/>
  <c r="G462" i="1"/>
  <c r="F1169" i="1"/>
  <c r="G1169" i="1"/>
  <c r="C1201" i="1"/>
  <c r="F1201" i="1"/>
  <c r="G1201" i="1"/>
  <c r="F1192" i="1"/>
  <c r="G1192" i="1"/>
  <c r="F1231" i="1"/>
  <c r="G1231" i="1"/>
  <c r="F1282" i="1"/>
  <c r="G1282" i="1"/>
  <c r="A458" i="1"/>
  <c r="F458" i="1"/>
  <c r="G458" i="1"/>
  <c r="A636" i="1"/>
  <c r="F636" i="1"/>
  <c r="G636" i="1"/>
  <c r="A197" i="1"/>
  <c r="C197" i="1"/>
  <c r="F197" i="1"/>
  <c r="G197" i="1"/>
  <c r="F1329" i="1"/>
  <c r="G1329" i="1"/>
  <c r="A547" i="1"/>
  <c r="C547" i="1"/>
  <c r="D547" i="1"/>
  <c r="E547" i="1"/>
  <c r="F547" i="1"/>
  <c r="A362" i="1"/>
  <c r="C362" i="1"/>
  <c r="F362" i="1"/>
  <c r="G362" i="1"/>
  <c r="A508" i="1"/>
  <c r="A760" i="1"/>
  <c r="F760" i="1"/>
  <c r="G760" i="1"/>
  <c r="A19" i="1"/>
  <c r="F19" i="1"/>
  <c r="G19" i="1"/>
  <c r="A335" i="1"/>
  <c r="F335" i="1"/>
  <c r="G335" i="1"/>
  <c r="A184" i="1"/>
  <c r="F184" i="1"/>
  <c r="G184" i="1"/>
  <c r="A172" i="1"/>
  <c r="F172" i="1"/>
  <c r="G172" i="1"/>
  <c r="A533" i="1"/>
  <c r="C533" i="1"/>
  <c r="D533" i="1"/>
  <c r="E533" i="1"/>
  <c r="F533" i="1"/>
  <c r="A352" i="1"/>
  <c r="F352" i="1"/>
  <c r="G352" i="1"/>
  <c r="A490" i="1"/>
  <c r="F1152" i="1"/>
  <c r="G1152" i="1"/>
  <c r="C1196" i="1"/>
  <c r="F1196" i="1"/>
  <c r="G1196" i="1"/>
  <c r="F1251" i="1"/>
  <c r="G1251" i="1"/>
  <c r="F1259" i="1"/>
  <c r="G1259" i="1"/>
  <c r="F1223" i="1"/>
  <c r="G1223" i="1"/>
  <c r="A613" i="1"/>
  <c r="F613" i="1"/>
  <c r="G613" i="1"/>
  <c r="F1352" i="1"/>
  <c r="G1352" i="1"/>
  <c r="C1333" i="1"/>
  <c r="F1333" i="1"/>
  <c r="G1333" i="1"/>
  <c r="A703" i="1"/>
  <c r="C703" i="1"/>
  <c r="F703" i="1"/>
  <c r="G703" i="1"/>
  <c r="A669" i="1"/>
  <c r="F669" i="1"/>
  <c r="G669" i="1"/>
  <c r="C943" i="1"/>
  <c r="F943" i="1"/>
  <c r="G943" i="1"/>
  <c r="A70" i="1"/>
  <c r="F70" i="1"/>
  <c r="G70" i="1"/>
  <c r="A710" i="1"/>
  <c r="F710" i="1"/>
  <c r="G710" i="1"/>
  <c r="A69" i="1"/>
  <c r="F69" i="1"/>
  <c r="G69" i="1"/>
  <c r="A309" i="1"/>
  <c r="C309" i="1"/>
  <c r="F309" i="1"/>
  <c r="G309" i="1"/>
  <c r="A207" i="1"/>
  <c r="F207" i="1"/>
  <c r="G207" i="1"/>
  <c r="F1072" i="1"/>
  <c r="G1072" i="1"/>
  <c r="A165" i="1"/>
  <c r="C165" i="1"/>
  <c r="F165" i="1"/>
  <c r="G165" i="1"/>
  <c r="A155" i="1"/>
  <c r="F155" i="1"/>
  <c r="G155" i="1"/>
  <c r="A6" i="1"/>
  <c r="F6" i="1"/>
  <c r="G6" i="1"/>
  <c r="A45" i="1"/>
  <c r="F45" i="1"/>
  <c r="G45" i="1"/>
  <c r="C1105" i="1"/>
  <c r="F1105" i="1"/>
  <c r="G1105" i="1"/>
  <c r="F1351" i="1"/>
  <c r="G1351" i="1"/>
  <c r="F1325" i="1"/>
  <c r="G1325" i="1"/>
  <c r="F1009" i="1"/>
  <c r="G1009" i="1"/>
  <c r="C1306" i="1"/>
  <c r="F1306" i="1"/>
  <c r="G1306" i="1"/>
  <c r="A552" i="1"/>
  <c r="C552" i="1"/>
  <c r="D552" i="1"/>
  <c r="E552" i="1"/>
  <c r="F552" i="1"/>
  <c r="F1064" i="1"/>
  <c r="G1064" i="1"/>
  <c r="A192" i="1"/>
  <c r="F192" i="1"/>
  <c r="G192" i="1"/>
  <c r="A330" i="1"/>
  <c r="F330" i="1"/>
  <c r="G330" i="1"/>
  <c r="F1044" i="1"/>
  <c r="G1044" i="1"/>
  <c r="A312" i="1"/>
  <c r="F312" i="1"/>
  <c r="G312" i="1"/>
  <c r="A410" i="1"/>
  <c r="C410" i="1"/>
  <c r="F410" i="1"/>
  <c r="G410" i="1"/>
  <c r="A129" i="1"/>
  <c r="C129" i="1"/>
  <c r="F129" i="1"/>
  <c r="G129" i="1"/>
  <c r="F1153" i="1"/>
  <c r="G1153" i="1"/>
  <c r="C1339" i="1"/>
  <c r="F1339" i="1"/>
  <c r="G1339" i="1"/>
  <c r="A642" i="1"/>
  <c r="F642" i="1"/>
  <c r="G642" i="1"/>
  <c r="A194" i="1"/>
  <c r="F194" i="1"/>
  <c r="G194" i="1"/>
  <c r="A593" i="1"/>
  <c r="F593" i="1"/>
  <c r="G593" i="1"/>
  <c r="F973" i="1"/>
  <c r="G973" i="1"/>
  <c r="F974" i="1"/>
  <c r="G974" i="1"/>
  <c r="F991" i="1"/>
  <c r="G991" i="1"/>
  <c r="F993" i="1"/>
  <c r="G993" i="1"/>
  <c r="A780" i="1"/>
  <c r="F780" i="1"/>
  <c r="G780" i="1"/>
  <c r="C1278" i="1"/>
  <c r="F1278" i="1"/>
  <c r="G1278" i="1"/>
  <c r="C1280" i="1"/>
  <c r="F1280" i="1"/>
  <c r="G1280" i="1"/>
  <c r="F1286" i="1"/>
  <c r="G1286" i="1"/>
  <c r="F1346" i="1"/>
  <c r="G1346" i="1"/>
  <c r="A393" i="1"/>
  <c r="C393" i="1"/>
  <c r="F393" i="1"/>
  <c r="G393" i="1"/>
  <c r="A833" i="1"/>
  <c r="C833" i="1"/>
  <c r="F833" i="1"/>
  <c r="G833" i="1"/>
  <c r="A800" i="1"/>
  <c r="F800" i="1"/>
  <c r="G800" i="1"/>
  <c r="A592" i="1"/>
  <c r="C592" i="1"/>
  <c r="F592" i="1"/>
  <c r="G592" i="1"/>
  <c r="A28" i="1"/>
  <c r="F28" i="1"/>
  <c r="G28" i="1"/>
  <c r="C1138" i="1"/>
  <c r="F1138" i="1"/>
  <c r="G1138" i="1"/>
  <c r="A479" i="1"/>
  <c r="C479" i="1"/>
  <c r="F479" i="1"/>
  <c r="G479" i="1"/>
  <c r="A615" i="1"/>
  <c r="F615" i="1"/>
  <c r="G615" i="1"/>
  <c r="A747" i="1"/>
  <c r="F747" i="1"/>
  <c r="G747" i="1"/>
  <c r="A20" i="1"/>
  <c r="C20" i="1"/>
  <c r="F20" i="1"/>
  <c r="G20" i="1"/>
  <c r="A767" i="1"/>
  <c r="C767" i="1"/>
  <c r="F767" i="1"/>
  <c r="G767" i="1"/>
  <c r="F1079" i="1"/>
  <c r="G1079" i="1"/>
  <c r="F1056" i="1"/>
  <c r="G1056" i="1"/>
  <c r="A14" i="1"/>
  <c r="F14" i="1"/>
  <c r="G14" i="1"/>
  <c r="C908" i="1"/>
  <c r="F908" i="1"/>
  <c r="G908" i="1"/>
  <c r="A252" i="1"/>
  <c r="F252" i="1"/>
  <c r="G252" i="1"/>
  <c r="A222" i="1"/>
  <c r="F222" i="1"/>
  <c r="G222" i="1"/>
  <c r="A848" i="1"/>
  <c r="C848" i="1"/>
  <c r="F848" i="1"/>
  <c r="G848" i="1"/>
  <c r="A277" i="1"/>
  <c r="C277" i="1"/>
  <c r="F277" i="1"/>
  <c r="G277" i="1"/>
  <c r="A116" i="1"/>
  <c r="F116" i="1"/>
  <c r="G116" i="1"/>
  <c r="A294" i="1"/>
  <c r="F294" i="1"/>
  <c r="G294" i="1"/>
  <c r="F1142" i="1"/>
  <c r="G1142" i="1"/>
  <c r="F1356" i="1"/>
  <c r="G1356" i="1"/>
  <c r="F1293" i="1"/>
  <c r="G1293" i="1"/>
  <c r="A551" i="1"/>
  <c r="C551" i="1"/>
  <c r="D551" i="1"/>
  <c r="E551" i="1"/>
  <c r="F551" i="1"/>
  <c r="F1073" i="1"/>
  <c r="G1073" i="1"/>
  <c r="A652" i="1"/>
  <c r="F652" i="1"/>
  <c r="G652" i="1"/>
  <c r="A345" i="1"/>
  <c r="C345" i="1"/>
  <c r="F345" i="1"/>
  <c r="G345" i="1"/>
  <c r="A522" i="1"/>
  <c r="F522" i="1"/>
  <c r="G522" i="1"/>
  <c r="A611" i="1"/>
  <c r="F611" i="1"/>
  <c r="G611" i="1"/>
  <c r="F1317" i="1"/>
  <c r="G1317" i="1"/>
  <c r="A633" i="1"/>
  <c r="F633" i="1"/>
  <c r="G633" i="1"/>
  <c r="A166" i="1"/>
  <c r="F166" i="1"/>
  <c r="G166" i="1"/>
  <c r="F985" i="1"/>
  <c r="G985" i="1"/>
  <c r="A412" i="1"/>
  <c r="F412" i="1"/>
  <c r="G412" i="1"/>
  <c r="A529" i="1"/>
  <c r="F529" i="1"/>
  <c r="G529" i="1"/>
  <c r="A80" i="1"/>
  <c r="C80" i="1"/>
  <c r="F80" i="1"/>
  <c r="G80" i="1"/>
  <c r="A807" i="1"/>
  <c r="F807" i="1"/>
  <c r="G807" i="1"/>
  <c r="A825" i="1"/>
  <c r="F825" i="1"/>
  <c r="G825" i="1"/>
  <c r="F1083" i="1"/>
  <c r="G1083" i="1"/>
  <c r="F1203" i="1"/>
  <c r="G1203" i="1"/>
  <c r="F1232" i="1"/>
  <c r="G1232" i="1"/>
  <c r="F1218" i="1"/>
  <c r="G1218" i="1"/>
  <c r="F1199" i="1"/>
  <c r="G1199" i="1"/>
  <c r="A897" i="1"/>
  <c r="C897" i="1"/>
  <c r="F897" i="1"/>
  <c r="G897" i="1"/>
  <c r="F1224" i="1"/>
  <c r="G1224" i="1"/>
  <c r="A446" i="1"/>
  <c r="F446" i="1"/>
  <c r="G446" i="1"/>
  <c r="C918" i="1"/>
  <c r="F918" i="1"/>
  <c r="G918" i="1"/>
  <c r="A790" i="1"/>
  <c r="F790" i="1"/>
  <c r="G790" i="1"/>
  <c r="A734" i="1"/>
  <c r="F734" i="1"/>
  <c r="G734" i="1"/>
  <c r="F902" i="1"/>
  <c r="G902" i="1"/>
  <c r="F1026" i="1"/>
  <c r="G1026" i="1"/>
  <c r="A774" i="1"/>
  <c r="C774" i="1"/>
  <c r="F774" i="1"/>
  <c r="G774" i="1"/>
  <c r="A435" i="1"/>
  <c r="F435" i="1"/>
  <c r="G435" i="1"/>
  <c r="A773" i="1"/>
  <c r="F773" i="1"/>
  <c r="G773" i="1"/>
  <c r="F941" i="1"/>
  <c r="G941" i="1"/>
  <c r="A238" i="1"/>
  <c r="F238" i="1"/>
  <c r="G238" i="1"/>
  <c r="A838" i="1"/>
  <c r="F838" i="1"/>
  <c r="G838" i="1"/>
  <c r="A467" i="1"/>
  <c r="F467" i="1"/>
  <c r="G467" i="1"/>
  <c r="A764" i="1"/>
  <c r="F764" i="1"/>
  <c r="G764" i="1"/>
  <c r="A449" i="1"/>
  <c r="F449" i="1"/>
  <c r="G449" i="1"/>
  <c r="A196" i="1"/>
  <c r="F196" i="1"/>
  <c r="G196" i="1"/>
  <c r="A589" i="1"/>
  <c r="F589" i="1"/>
  <c r="G589" i="1"/>
  <c r="C989" i="1"/>
  <c r="F989" i="1"/>
  <c r="G989" i="1"/>
  <c r="A431" i="1"/>
  <c r="F431" i="1"/>
  <c r="G431" i="1"/>
  <c r="A489" i="1"/>
  <c r="F489" i="1"/>
  <c r="G489" i="1"/>
  <c r="A83" i="1"/>
  <c r="C83" i="1"/>
  <c r="F83" i="1"/>
  <c r="G83" i="1"/>
  <c r="A22" i="1"/>
  <c r="F22" i="1"/>
  <c r="G22" i="1"/>
  <c r="A719" i="1"/>
  <c r="F719" i="1"/>
  <c r="G719" i="1"/>
  <c r="C995" i="1"/>
  <c r="F995" i="1"/>
  <c r="G995" i="1"/>
  <c r="A417" i="1"/>
  <c r="F417" i="1"/>
  <c r="G417" i="1"/>
  <c r="A864" i="1"/>
  <c r="F864" i="1"/>
  <c r="G864" i="1"/>
  <c r="F955" i="1"/>
  <c r="G955" i="1"/>
  <c r="F1030" i="1"/>
  <c r="G1030" i="1"/>
  <c r="C1109" i="1"/>
  <c r="F1109" i="1"/>
  <c r="G1109" i="1"/>
  <c r="F1288" i="1"/>
  <c r="G1288" i="1"/>
  <c r="A877" i="1"/>
  <c r="F877" i="1"/>
  <c r="G877" i="1"/>
  <c r="F1301" i="1"/>
  <c r="G1301" i="1"/>
  <c r="F1226" i="1"/>
  <c r="G1226" i="1"/>
  <c r="A199" i="1"/>
  <c r="F199" i="1"/>
  <c r="G199" i="1"/>
  <c r="A228" i="1"/>
  <c r="F228" i="1"/>
  <c r="G228" i="1"/>
  <c r="A617" i="1"/>
  <c r="F617" i="1"/>
  <c r="G617" i="1"/>
  <c r="F939" i="1"/>
  <c r="G939" i="1"/>
  <c r="A113" i="1"/>
  <c r="F113" i="1"/>
  <c r="G113" i="1"/>
  <c r="A302" i="1"/>
  <c r="C302" i="1"/>
  <c r="F302" i="1"/>
  <c r="G302" i="1"/>
  <c r="A376" i="1"/>
  <c r="F376" i="1"/>
  <c r="G376" i="1"/>
  <c r="A159" i="1"/>
  <c r="C159" i="1"/>
  <c r="F159" i="1"/>
  <c r="G159" i="1"/>
  <c r="A582" i="1"/>
  <c r="F582" i="1"/>
  <c r="G582" i="1"/>
  <c r="F1131" i="1"/>
  <c r="G1131" i="1"/>
  <c r="A189" i="1"/>
  <c r="F189" i="1"/>
  <c r="G189" i="1"/>
  <c r="A236" i="1"/>
  <c r="C236" i="1"/>
  <c r="F236" i="1"/>
  <c r="G236" i="1"/>
  <c r="A10" i="1"/>
  <c r="F10" i="1"/>
  <c r="G10" i="1"/>
  <c r="A264" i="1"/>
  <c r="F264" i="1"/>
  <c r="G264" i="1"/>
  <c r="A126" i="1"/>
  <c r="C126" i="1"/>
  <c r="F126" i="1"/>
  <c r="G126" i="1"/>
  <c r="A223" i="1"/>
  <c r="F223" i="1"/>
  <c r="G223" i="1"/>
  <c r="A341" i="1"/>
  <c r="F341" i="1"/>
  <c r="G341" i="1"/>
  <c r="A397" i="1"/>
  <c r="F397" i="1"/>
  <c r="G397" i="1"/>
  <c r="A447" i="1"/>
  <c r="F447" i="1"/>
  <c r="G447" i="1"/>
  <c r="F1241" i="1"/>
  <c r="G1241" i="1"/>
  <c r="F1046" i="1"/>
  <c r="G1046" i="1"/>
  <c r="A886" i="1"/>
  <c r="C886" i="1"/>
  <c r="F886" i="1"/>
  <c r="G886" i="1"/>
  <c r="A600" i="1"/>
  <c r="F600" i="1"/>
  <c r="G600" i="1"/>
  <c r="A127" i="1"/>
  <c r="F127" i="1"/>
  <c r="G127" i="1"/>
  <c r="A757" i="1"/>
  <c r="F757" i="1"/>
  <c r="G757" i="1"/>
  <c r="A859" i="1"/>
  <c r="F859" i="1"/>
  <c r="G859" i="1"/>
  <c r="A701" i="1"/>
  <c r="F701" i="1"/>
  <c r="G701" i="1"/>
  <c r="A325" i="1"/>
  <c r="F325" i="1"/>
  <c r="G325" i="1"/>
  <c r="A280" i="1"/>
  <c r="C280" i="1"/>
  <c r="F280" i="1"/>
  <c r="A812" i="1"/>
  <c r="C812" i="1"/>
  <c r="F812" i="1"/>
  <c r="G812" i="1"/>
  <c r="F911" i="1"/>
  <c r="G911" i="1"/>
  <c r="A371" i="1"/>
  <c r="F371" i="1"/>
  <c r="G371" i="1"/>
  <c r="A700" i="1"/>
  <c r="F700" i="1"/>
  <c r="G700" i="1"/>
  <c r="F1017" i="1"/>
  <c r="G1017" i="1"/>
  <c r="F1099" i="1"/>
  <c r="G1099" i="1"/>
  <c r="F1243" i="1"/>
  <c r="G1243" i="1"/>
  <c r="F1038" i="1"/>
  <c r="G1038" i="1"/>
  <c r="A870" i="1"/>
  <c r="F870" i="1"/>
  <c r="G870" i="1"/>
  <c r="F1240" i="1"/>
  <c r="G1240" i="1"/>
  <c r="F1263" i="1"/>
  <c r="G1263" i="1"/>
  <c r="F1266" i="1"/>
  <c r="G1266" i="1"/>
  <c r="A214" i="1"/>
  <c r="F214" i="1"/>
  <c r="G214" i="1"/>
</calcChain>
</file>

<file path=xl/sharedStrings.xml><?xml version="1.0" encoding="utf-8"?>
<sst xmlns="http://schemas.openxmlformats.org/spreadsheetml/2006/main" count="13946" uniqueCount="3300">
  <si>
    <t xml:space="preserve">ASSOCIATION &amp; SOCIETY INS. CORP.                  </t>
  </si>
  <si>
    <t xml:space="preserve">THIS CODE USED ONLY FOR DENTAL CLAIMS WHERE BCBS IS THE INSURANCE CARRIER                                                                   </t>
  </si>
  <si>
    <t xml:space="preserve">D66  </t>
  </si>
  <si>
    <t xml:space="preserve">CHCCARES OF SOUTH CAROLINA                        </t>
  </si>
  <si>
    <t xml:space="preserve">MANAGED HEALTH RESOURCES                          </t>
  </si>
  <si>
    <t xml:space="preserve">P.O. BOX 30742                                    </t>
  </si>
  <si>
    <t xml:space="preserve">CHAMPVA                                           </t>
  </si>
  <si>
    <t xml:space="preserve">PO BOX 469064                                     </t>
  </si>
  <si>
    <t xml:space="preserve">MEDICAID MCO PLAN                                                                                                                           </t>
  </si>
  <si>
    <t xml:space="preserve">X0M  </t>
  </si>
  <si>
    <t xml:space="preserve">BLUE CROSS OF MASSACHUSETTS INC                   </t>
  </si>
  <si>
    <t xml:space="preserve">P.O. BOX 986020                                   </t>
  </si>
  <si>
    <t xml:space="preserve">ONE NATION BENEFIT ADMINISTRATORS                 </t>
  </si>
  <si>
    <t xml:space="preserve">P.O. BOX 528                                      </t>
  </si>
  <si>
    <t xml:space="preserve">NAME CHANGE WAS ANTHEM BENEFIT ADMINISTRATORS                                                                                               </t>
  </si>
  <si>
    <t xml:space="preserve">PLUMBERS &amp; STEAMFITTERS WELFARE FUND              </t>
  </si>
  <si>
    <t xml:space="preserve">PEEKSILL                               </t>
  </si>
  <si>
    <t xml:space="preserve">MEDIPLAN                                          </t>
  </si>
  <si>
    <t xml:space="preserve">DHEC FAMILY PLANNING                              </t>
  </si>
  <si>
    <t xml:space="preserve">ALLIED BENEFITS SYSTEM                            </t>
  </si>
  <si>
    <t xml:space="preserve">P.O. BOX 909786                                   </t>
  </si>
  <si>
    <t xml:space="preserve">PRINCIPAL FINANCIAL GROUP                         </t>
  </si>
  <si>
    <t xml:space="preserve">P.O. BOX 10357                                    </t>
  </si>
  <si>
    <t xml:space="preserve">BANKERS LIFE &amp; CASUALTY                           </t>
  </si>
  <si>
    <t xml:space="preserve">PO BOX 66927                                      </t>
  </si>
  <si>
    <t xml:space="preserve">C46  </t>
  </si>
  <si>
    <t xml:space="preserve">MEDCO HEALTH SOLUTIONS                            </t>
  </si>
  <si>
    <t xml:space="preserve">P O BOX 14713                                     </t>
  </si>
  <si>
    <t xml:space="preserve">AS OF 8/1/02 MERCK-MEDCO AND THEIR SUBSIDIARY PAID PRESCRIPTIONS IS NOW MEDCO HEALTH.                                                       </t>
  </si>
  <si>
    <t xml:space="preserve">CINERGY HEALTH PREFERRED PLAN                     </t>
  </si>
  <si>
    <t xml:space="preserve">LAKE HIAWATHA                          </t>
  </si>
  <si>
    <t xml:space="preserve">PAUL REVERE LIFE INSURANCE COMPANY                </t>
  </si>
  <si>
    <t xml:space="preserve">P.O. BOX 15118                                    </t>
  </si>
  <si>
    <t xml:space="preserve">WORCESTER                              </t>
  </si>
  <si>
    <t xml:space="preserve">CAREMARK PRESCRIPTION SERVICES                    </t>
  </si>
  <si>
    <t xml:space="preserve">P O BOX 52188                                     </t>
  </si>
  <si>
    <t xml:space="preserve">USE CARRIER 471                                                                                                                             </t>
  </si>
  <si>
    <t xml:space="preserve">MEDICAL REIMBURSEMENT OF AMERICA                  </t>
  </si>
  <si>
    <t xml:space="preserve">THIS CODE IS USED BY SCHA NOT AN ACTIVE MEDICAID CODE                                                                                       </t>
  </si>
  <si>
    <t xml:space="preserve">X0T  </t>
  </si>
  <si>
    <t xml:space="preserve">P O BOX 805107                                    </t>
  </si>
  <si>
    <t xml:space="preserve">CENTURY PLANNER                                   </t>
  </si>
  <si>
    <t xml:space="preserve">PREFERRED CARE INC (PCI)                          </t>
  </si>
  <si>
    <t xml:space="preserve">FORT WASHINGTON                        </t>
  </si>
  <si>
    <t xml:space="preserve">X2O  </t>
  </si>
  <si>
    <t xml:space="preserve">BLUE CROSS &amp; BLUE SHIELD OF WEST VIRGINIA INC     </t>
  </si>
  <si>
    <t xml:space="preserve">P O BOX 1353                                      </t>
  </si>
  <si>
    <t xml:space="preserve">CLAIMS PRO                                        </t>
  </si>
  <si>
    <t xml:space="preserve">P.O. BOX 577                                      </t>
  </si>
  <si>
    <t xml:space="preserve">RX CARRIER ONLY                                                                                                                             </t>
  </si>
  <si>
    <t xml:space="preserve">DHEC HEART                                        </t>
  </si>
  <si>
    <t xml:space="preserve">GEORGIA STATE HEALTH BENEFIT PLAN                 </t>
  </si>
  <si>
    <t xml:space="preserve">POST OFFICE BOX 38151                             </t>
  </si>
  <si>
    <t xml:space="preserve">X1A  </t>
  </si>
  <si>
    <t xml:space="preserve">BLUE CROSS BLUE SHIELD OF NEW MEXICO              </t>
  </si>
  <si>
    <t xml:space="preserve">P.O. BOX 27630                                    </t>
  </si>
  <si>
    <t xml:space="preserve">ALBUQUERQUE                            </t>
  </si>
  <si>
    <t xml:space="preserve">WORLD INSURANCE COMPANY                           </t>
  </si>
  <si>
    <t xml:space="preserve">P.O. BOX 3160                                     </t>
  </si>
  <si>
    <t xml:space="preserve">AUTOMATED BENEFIT SERVICES INC.                   </t>
  </si>
  <si>
    <t xml:space="preserve">P.O. BOX 321223                                   </t>
  </si>
  <si>
    <t xml:space="preserve">ALIA CLAIMS DEPARTMENT                            </t>
  </si>
  <si>
    <t xml:space="preserve">P.O. BOX 9060                                     </t>
  </si>
  <si>
    <t xml:space="preserve">A81  </t>
  </si>
  <si>
    <t xml:space="preserve">BENESYS                                           </t>
  </si>
  <si>
    <t xml:space="preserve">P.O. BOX 90082                                    </t>
  </si>
  <si>
    <t xml:space="preserve">BUILDERS MUTUAL INSURANCE CO                      </t>
  </si>
  <si>
    <t xml:space="preserve">P.O. BOX 150006                                   </t>
  </si>
  <si>
    <t xml:space="preserve">BCBS OF GEORGIA                                   </t>
  </si>
  <si>
    <t xml:space="preserve">P.O. BOX 9907                                     </t>
  </si>
  <si>
    <t xml:space="preserve">A63  </t>
  </si>
  <si>
    <t xml:space="preserve">CITIZENS INSURANCE                                </t>
  </si>
  <si>
    <t xml:space="preserve">P.O. BOX 1627                                     </t>
  </si>
  <si>
    <t xml:space="preserve">D02  </t>
  </si>
  <si>
    <t xml:space="preserve">INSURANCE ADMINISTRATOR OF AMERICA                </t>
  </si>
  <si>
    <t xml:space="preserve">P.O. BOX 5082                                     </t>
  </si>
  <si>
    <t xml:space="preserve">MT. LAUREL                             </t>
  </si>
  <si>
    <t xml:space="preserve">P.O. BOX 12954                                    </t>
  </si>
  <si>
    <t>CARRIER CODE</t>
  </si>
  <si>
    <t>CARRIER TPL NAME</t>
  </si>
  <si>
    <t>CARRIER ADDRESS LINE</t>
  </si>
  <si>
    <t>CARRIER CITY</t>
  </si>
  <si>
    <t>CARRIER STATE</t>
  </si>
  <si>
    <t>CARRIER ZIP</t>
  </si>
  <si>
    <t>CARRIER PHONE NO</t>
  </si>
  <si>
    <t>CARRIER COMMENT</t>
  </si>
  <si>
    <t xml:space="preserve">STATESMAN NATIONAL LIFE INSURANCE COMPANY         </t>
  </si>
  <si>
    <t xml:space="preserve">INTERNATIONAL EDUCATION EXCHANGE SERVICES         </t>
  </si>
  <si>
    <t xml:space="preserve">P.O. BOX 370                                      </t>
  </si>
  <si>
    <t xml:space="preserve">ITHACA                                 </t>
  </si>
  <si>
    <t xml:space="preserve">GILSBAR INSURANCE COMPANY                         </t>
  </si>
  <si>
    <t xml:space="preserve">P O BOX 2947                                      </t>
  </si>
  <si>
    <t xml:space="preserve">COVINGTON                              </t>
  </si>
  <si>
    <t xml:space="preserve">AMERICAN TRUST ADMINISTRATORS                     </t>
  </si>
  <si>
    <t xml:space="preserve">P O BOX 87                                        </t>
  </si>
  <si>
    <t xml:space="preserve">X1O  </t>
  </si>
  <si>
    <t xml:space="preserve">P.O. BOX 5023                                     </t>
  </si>
  <si>
    <t xml:space="preserve">USE CARRIER CODE X2A                                                                                                                        </t>
  </si>
  <si>
    <t xml:space="preserve">TUFTS HEATH PLAN                                  </t>
  </si>
  <si>
    <t xml:space="preserve">P O BOX 9171                                      </t>
  </si>
  <si>
    <t xml:space="preserve">WATERTOWN                              </t>
  </si>
  <si>
    <t xml:space="preserve">APA PARTNERS, INC.                                </t>
  </si>
  <si>
    <t xml:space="preserve">P.O. BOX 1506                                     </t>
  </si>
  <si>
    <t xml:space="preserve">MARQUETTE NATIONAL LIFE INS. CO.                  </t>
  </si>
  <si>
    <t xml:space="preserve">COOK INSURANCE                                    </t>
  </si>
  <si>
    <t xml:space="preserve">P.O. BOX 1029                                     </t>
  </si>
  <si>
    <t xml:space="preserve">BLOOMINGTON                            </t>
  </si>
  <si>
    <t xml:space="preserve">D24  </t>
  </si>
  <si>
    <t xml:space="preserve">MOUNT CARMEL HEALTH  PLAN (MCHP) MEDIGOLD (HMO)   </t>
  </si>
  <si>
    <t xml:space="preserve">P.O. BOX 6111                                     </t>
  </si>
  <si>
    <t xml:space="preserve">WESTERVILLE                            </t>
  </si>
  <si>
    <t xml:space="preserve">E66  </t>
  </si>
  <si>
    <t xml:space="preserve">CHCCARE OF SOUTH CAROLINA                         </t>
  </si>
  <si>
    <t xml:space="preserve">INTERPLAN HEALTH GROUP                            </t>
  </si>
  <si>
    <t xml:space="preserve">P.O. BOX 90613                                    </t>
  </si>
  <si>
    <t xml:space="preserve">STERLING OPTION I (PFFS)                          </t>
  </si>
  <si>
    <t xml:space="preserve">INDECS CORP                                       </t>
  </si>
  <si>
    <t xml:space="preserve">P.O. BOX 668                                      </t>
  </si>
  <si>
    <t xml:space="preserve">LYNDHURST                              </t>
  </si>
  <si>
    <t xml:space="preserve">BAMBERG COUNTY                                    </t>
  </si>
  <si>
    <t xml:space="preserve">B65  </t>
  </si>
  <si>
    <t xml:space="preserve">COMPASS ROSE HEALTH PLAN                          </t>
  </si>
  <si>
    <t xml:space="preserve">P.O. BOX 141501                                   </t>
  </si>
  <si>
    <t xml:space="preserve">PROFESSIONAL INSURANCE CORPORATION                </t>
  </si>
  <si>
    <t xml:space="preserve">A05  </t>
  </si>
  <si>
    <t xml:space="preserve">AMERICAN PUBLIC LIFE INSURANCE CO.                </t>
  </si>
  <si>
    <t xml:space="preserve">P.O. BOX 925                                      </t>
  </si>
  <si>
    <t xml:space="preserve">P.O. BOX 619055                                   </t>
  </si>
  <si>
    <t xml:space="preserve">C38  </t>
  </si>
  <si>
    <t xml:space="preserve">STANDARD LIFE &amp; ACCIDENT INSURANCE COMPANY        </t>
  </si>
  <si>
    <t xml:space="preserve">P O BOX 1800                                      </t>
  </si>
  <si>
    <t xml:space="preserve">CHARLESTON COUNTY                                 </t>
  </si>
  <si>
    <t xml:space="preserve">DHEC LOW RISK MATERNITY                           </t>
  </si>
  <si>
    <t xml:space="preserve">UNITED HEALTHCARE PLAN OF RIVER VALLED            </t>
  </si>
  <si>
    <t xml:space="preserve">MOLINE                                 </t>
  </si>
  <si>
    <t xml:space="preserve">CODE ASSIGNED BY SCHA THESE COMPANY BOUGHT OUT JOHN DEERE INS. CO. THIS WAS THE HMO FOR JOHN DEERE  6/29/07                                 </t>
  </si>
  <si>
    <t xml:space="preserve">DIALYSIS CLINIC, INC.                             </t>
  </si>
  <si>
    <t xml:space="preserve">X1Z  </t>
  </si>
  <si>
    <t xml:space="preserve">PEOPLES BENEFIT LIFE INSURANCE                    </t>
  </si>
  <si>
    <t xml:space="preserve">P O BOX 484                                       </t>
  </si>
  <si>
    <t xml:space="preserve">VALLEY FORGE                           </t>
  </si>
  <si>
    <t xml:space="preserve">USA HEALTH CARE (MVP HEALTH CARE)                 </t>
  </si>
  <si>
    <t xml:space="preserve">P.O. BOX 22920                                    </t>
  </si>
  <si>
    <t xml:space="preserve">B57  </t>
  </si>
  <si>
    <t xml:space="preserve">SOUTHERN FARM BUREAU LIFE INS. CO.                </t>
  </si>
  <si>
    <t xml:space="preserve">P.O. BOX 78                                       </t>
  </si>
  <si>
    <t xml:space="preserve">HEALTH PLAN SERVICES                              </t>
  </si>
  <si>
    <t xml:space="preserve">POST OFFICE BOX 30298                             </t>
  </si>
  <si>
    <t xml:space="preserve">D57  </t>
  </si>
  <si>
    <t xml:space="preserve">CIGNA MEDICARE ACCESS                             </t>
  </si>
  <si>
    <t xml:space="preserve">P.O. BOX 22174                                    </t>
  </si>
  <si>
    <t xml:space="preserve">GOVERNMENT EMPLOYEE HOSP. ASSN (GEHA)             </t>
  </si>
  <si>
    <t xml:space="preserve">POST OFFICE BOX 4665                              </t>
  </si>
  <si>
    <t xml:space="preserve">UNITED COMMERCIAL TRAVELERS OF AMERICA            </t>
  </si>
  <si>
    <t xml:space="preserve">P.O. BOX 159019                                   </t>
  </si>
  <si>
    <t xml:space="preserve">ALLSTATE WORKPLACE DIVISION                       </t>
  </si>
  <si>
    <t xml:space="preserve">P.O.BOX 853916                                    </t>
  </si>
  <si>
    <t xml:space="preserve">A02  </t>
  </si>
  <si>
    <t xml:space="preserve">ALTERNATIVE BENEFITS PLANS, INC.                  </t>
  </si>
  <si>
    <t xml:space="preserve">X2U  </t>
  </si>
  <si>
    <t xml:space="preserve">BLUE CROSS &amp; BLUE SHIELD OF MISSOURI              </t>
  </si>
  <si>
    <t xml:space="preserve">AKA  ALLIANCE BLUE CROSS BLUE SHIELD                                                                                                        </t>
  </si>
  <si>
    <t xml:space="preserve">X2N  </t>
  </si>
  <si>
    <t xml:space="preserve">CHESTERFIELD COUNTY                               </t>
  </si>
  <si>
    <t xml:space="preserve">B42  </t>
  </si>
  <si>
    <t xml:space="preserve">P.O. BOX 266                                      </t>
  </si>
  <si>
    <t xml:space="preserve">HARVARD PILGRIM HEALTHCARE                        </t>
  </si>
  <si>
    <t xml:space="preserve">P.O.BOX 656653                                    </t>
  </si>
  <si>
    <t xml:space="preserve">PO BOX 2920                                       </t>
  </si>
  <si>
    <t xml:space="preserve">US HEALTH AND LIFE                                </t>
  </si>
  <si>
    <t xml:space="preserve">P O BOX 37504                                     </t>
  </si>
  <si>
    <t xml:space="preserve">OAK PARK                               </t>
  </si>
  <si>
    <t xml:space="preserve">A97  </t>
  </si>
  <si>
    <t xml:space="preserve">EMPLOYER PLAN SERVICES, INC.                      </t>
  </si>
  <si>
    <t xml:space="preserve">B12  </t>
  </si>
  <si>
    <t xml:space="preserve">JOHN HANCOCK LIFE AND HEALTH INSURANCE            </t>
  </si>
  <si>
    <t xml:space="preserve">JOHN HANCOCK B5-03 200 BERKELEY STEET             </t>
  </si>
  <si>
    <t xml:space="preserve">B92  </t>
  </si>
  <si>
    <t xml:space="preserve">CARE SOURCE                                       </t>
  </si>
  <si>
    <t xml:space="preserve">ONE SOUTH MAIN                                    </t>
  </si>
  <si>
    <t xml:space="preserve">MARSH ADVANTAGE AMERICA                           </t>
  </si>
  <si>
    <t xml:space="preserve">FORMERLY BENEFIT PLAN SERVICES                                                                                                              </t>
  </si>
  <si>
    <t>C32DN</t>
  </si>
  <si>
    <t xml:space="preserve">WELLS FARGO                                       </t>
  </si>
  <si>
    <t xml:space="preserve">P O BOX 11064                                     </t>
  </si>
  <si>
    <t xml:space="preserve">D52  </t>
  </si>
  <si>
    <t xml:space="preserve">WELLCARE OF GEORGIA                               </t>
  </si>
  <si>
    <t xml:space="preserve">P.O. BOX 31224                                    </t>
  </si>
  <si>
    <t xml:space="preserve">D43  </t>
  </si>
  <si>
    <t xml:space="preserve">SOUTHEAST COMMUNITY CARE BY ARCADIAN HEALTH       </t>
  </si>
  <si>
    <t xml:space="preserve">D60  </t>
  </si>
  <si>
    <t xml:space="preserve">AMERIGROUP COMMUNITY CARE OF SC                   </t>
  </si>
  <si>
    <t xml:space="preserve">P.O. BOX 31789                                    </t>
  </si>
  <si>
    <t xml:space="preserve">AMERICAN HEALTH GROUP, INC.                       </t>
  </si>
  <si>
    <t xml:space="preserve">MAUMEE                                 </t>
  </si>
  <si>
    <t xml:space="preserve">WHP HEALTH INITIATIVE                             </t>
  </si>
  <si>
    <t xml:space="preserve">P.O. BXO 545                                      </t>
  </si>
  <si>
    <t xml:space="preserve">DEERFIELD                              </t>
  </si>
  <si>
    <t xml:space="preserve">B24  </t>
  </si>
  <si>
    <t xml:space="preserve">EMBLEM HEALTH CARE CO.                            </t>
  </si>
  <si>
    <t xml:space="preserve">P.O. BOX 3000                                     </t>
  </si>
  <si>
    <t xml:space="preserve">FEDERAL EMPLOYEE PLAN BLUE CROSS                  </t>
  </si>
  <si>
    <t xml:space="preserve">I-20 AT ALPINE ROAD                               </t>
  </si>
  <si>
    <t xml:space="preserve">EVERCARE                                          </t>
  </si>
  <si>
    <t xml:space="preserve">P.O. BOX 31350                                    </t>
  </si>
  <si>
    <t xml:space="preserve">SPENCER &amp; ASSOCIATES INS.                         </t>
  </si>
  <si>
    <t xml:space="preserve">ASSURECARE RISK MANAGEMENT                        </t>
  </si>
  <si>
    <t xml:space="preserve">BOILING BROOK                          </t>
  </si>
  <si>
    <t xml:space="preserve">BENEFIT PLAN ADMINISTRATORS                       </t>
  </si>
  <si>
    <t xml:space="preserve">ST. PAUL                               </t>
  </si>
  <si>
    <t xml:space="preserve">ESIS                                              </t>
  </si>
  <si>
    <t xml:space="preserve">P O BOX 31122                                     </t>
  </si>
  <si>
    <t xml:space="preserve">OUT-OF-STATE GA                                   </t>
  </si>
  <si>
    <t xml:space="preserve">DHEC TB                                           </t>
  </si>
  <si>
    <t xml:space="preserve">EMPLOYEE BENEFIT CONSULTANTS                      </t>
  </si>
  <si>
    <t xml:space="preserve">P.O. BOX 928                                      </t>
  </si>
  <si>
    <t xml:space="preserve">FINDLAY                                </t>
  </si>
  <si>
    <t xml:space="preserve">C01  </t>
  </si>
  <si>
    <t xml:space="preserve">TERMINIX SERVICE                                  </t>
  </si>
  <si>
    <t xml:space="preserve">P.O. BOX 2627                                     </t>
  </si>
  <si>
    <t xml:space="preserve">HEALTH NETWORK AMERICA/TRIVERIS                   </t>
  </si>
  <si>
    <t xml:space="preserve">P.O. BOX 307                                      </t>
  </si>
  <si>
    <t xml:space="preserve">EATONTOWN                              </t>
  </si>
  <si>
    <t xml:space="preserve">A44  </t>
  </si>
  <si>
    <t xml:space="preserve">GLOBAL MEDICAL MANAGEMENT, INC                    </t>
  </si>
  <si>
    <t xml:space="preserve">DAVIE                                  </t>
  </si>
  <si>
    <t xml:space="preserve">ATHENE ANNUITY AND LIFE ASSURANCE COMPANY         </t>
  </si>
  <si>
    <t xml:space="preserve">POST OFFICE BOX 19038                             </t>
  </si>
  <si>
    <t xml:space="preserve">GLOBE LIFE &amp; ACCIDENT INSURANCE                   </t>
  </si>
  <si>
    <t xml:space="preserve">HEALTH REIMBURSEMENT MANAGMENT PARTNERSHIP        </t>
  </si>
  <si>
    <t xml:space="preserve">A85  </t>
  </si>
  <si>
    <t xml:space="preserve">QUALCHOICE                                        </t>
  </si>
  <si>
    <t xml:space="preserve">P.O. BOX 25610                                    </t>
  </si>
  <si>
    <t xml:space="preserve">IDEAL SCRIPTS                                     </t>
  </si>
  <si>
    <t xml:space="preserve">WARWICK                                </t>
  </si>
  <si>
    <t xml:space="preserve">A56  </t>
  </si>
  <si>
    <t xml:space="preserve">VULCAN MATERIALS COMPANY                          </t>
  </si>
  <si>
    <t xml:space="preserve">P O BOX 530187                                    </t>
  </si>
  <si>
    <t xml:space="preserve">HARRINGTON HEALTH                                 </t>
  </si>
  <si>
    <t xml:space="preserve">P.O. BOX 30544                                    </t>
  </si>
  <si>
    <t xml:space="preserve">MULTIPLAN                                         </t>
  </si>
  <si>
    <t xml:space="preserve">CELTIC INDIVIDUAL HEALTH                          </t>
  </si>
  <si>
    <t xml:space="preserve">P.O. BOX 33839                                    </t>
  </si>
  <si>
    <t xml:space="preserve">A69  </t>
  </si>
  <si>
    <t xml:space="preserve">KAISER FOUNDATION HEALTH PLAN OF SOUTHERN CA      </t>
  </si>
  <si>
    <t xml:space="preserve">D05  </t>
  </si>
  <si>
    <t xml:space="preserve">UPMC HEALTH BENEFITS, INC.                        </t>
  </si>
  <si>
    <t>C27DN</t>
  </si>
  <si>
    <t xml:space="preserve">XYZ  </t>
  </si>
  <si>
    <t xml:space="preserve">OPTUM RX                                          </t>
  </si>
  <si>
    <t xml:space="preserve">P.O. BOX 29044                                    </t>
  </si>
  <si>
    <t xml:space="preserve">HOT SPRINGS                            </t>
  </si>
  <si>
    <t xml:space="preserve">FORMERLY PRESCRIPTION SOLUTIONS                                                                                                             </t>
  </si>
  <si>
    <t xml:space="preserve">ALASKA TEAMSTER TRUST                             </t>
  </si>
  <si>
    <t xml:space="preserve">C55  </t>
  </si>
  <si>
    <t xml:space="preserve">PLAN ADMINISTRATORS (MATURE AMERICAN)             </t>
  </si>
  <si>
    <t xml:space="preserve">B64  </t>
  </si>
  <si>
    <t xml:space="preserve">UNITED MEDICAL RESOURCES INC.                     </t>
  </si>
  <si>
    <t xml:space="preserve">P.O. BOX 145804                                   </t>
  </si>
  <si>
    <t xml:space="preserve">GROUP BENEFITS ADMINISTRATORS                     </t>
  </si>
  <si>
    <t xml:space="preserve">RIVEREDGE                              </t>
  </si>
  <si>
    <t xml:space="preserve">C34  </t>
  </si>
  <si>
    <t xml:space="preserve">HTH WORLDWIDE INSURANCE SERVICES                  </t>
  </si>
  <si>
    <t xml:space="preserve">P.O. BOX 39                                       </t>
  </si>
  <si>
    <t xml:space="preserve">EMPLOYEE BENEFIT SERVICES                         </t>
  </si>
  <si>
    <t xml:space="preserve">USE CODE 345 EMPLOYEE BENEFIT SERVICES                                                                                                      </t>
  </si>
  <si>
    <t xml:space="preserve">ADVANCED DATA SOLUTIONS                           </t>
  </si>
  <si>
    <t xml:space="preserve">P.O. BOX 723097                                   </t>
  </si>
  <si>
    <t xml:space="preserve">IMERICA LIFE AND HEALTH INS. CO                   </t>
  </si>
  <si>
    <t xml:space="preserve">P.O. BOX 3287                                     </t>
  </si>
  <si>
    <t xml:space="preserve">UNION LABOR LIFE INSURANCE                        </t>
  </si>
  <si>
    <t xml:space="preserve">A46  </t>
  </si>
  <si>
    <t xml:space="preserve">STANDARD  INSURANCE COMPANY                       </t>
  </si>
  <si>
    <t xml:space="preserve">PO BOX 209                                        </t>
  </si>
  <si>
    <t xml:space="preserve">CAROLINA ATLANTIC MEDICAL SERVICES ORGANIZATION   </t>
  </si>
  <si>
    <t xml:space="preserve">P O BOX 22528                                     </t>
  </si>
  <si>
    <t xml:space="preserve">B96  </t>
  </si>
  <si>
    <t xml:space="preserve">PENN TREATY &amp; AMERICAN NETWORK                    </t>
  </si>
  <si>
    <t xml:space="preserve">AFLAC -AMERICAN FAMILY LIFE ASSO CO               </t>
  </si>
  <si>
    <t xml:space="preserve">TRICARE OVERSEAS PROGRAM                          </t>
  </si>
  <si>
    <t xml:space="preserve">P.O. BOX 7985                                     </t>
  </si>
  <si>
    <t xml:space="preserve">CODE ASSIGNED BY SCHA  6/07/10                                                                                                              </t>
  </si>
  <si>
    <t xml:space="preserve">C82  </t>
  </si>
  <si>
    <t xml:space="preserve">AMERICAN STANDARD LIFE &amp; ACCIDENT INS. CO.        </t>
  </si>
  <si>
    <t xml:space="preserve">P O DRAWER 3248,  224 NORTH INDEPENDENT           </t>
  </si>
  <si>
    <t xml:space="preserve">ENID                                   </t>
  </si>
  <si>
    <t xml:space="preserve">MANAGED PHARMACY BENEFITS                         </t>
  </si>
  <si>
    <t xml:space="preserve">THIS CARRIER BOUGHT OUT BY EXPRESS SCRIPTS.                                                                                                 </t>
  </si>
  <si>
    <t xml:space="preserve">NATIONAL PRESCRIPTION ADMINISTRATORS              </t>
  </si>
  <si>
    <t xml:space="preserve">P.O. BOX 1981                                     </t>
  </si>
  <si>
    <t xml:space="preserve">EAST HANOVER                           </t>
  </si>
  <si>
    <t xml:space="preserve">BOUGHT OUT BY EXPRESS SCRIPTS CC333                                                                                                         </t>
  </si>
  <si>
    <t>PROVANTAGE PRESCRIPTION BENEFIT MANAGEMENT SERVICE</t>
  </si>
  <si>
    <t xml:space="preserve">P.O. BOX 1662                                     </t>
  </si>
  <si>
    <t xml:space="preserve">WAUKEHA                                </t>
  </si>
  <si>
    <t xml:space="preserve">CONSECO HEALTH INS. CO                            </t>
  </si>
  <si>
    <t xml:space="preserve">P.O. BOX 66904                                    </t>
  </si>
  <si>
    <t xml:space="preserve">B05  </t>
  </si>
  <si>
    <t xml:space="preserve">FOCUS HEALTHCARE MANAGEMENT, INC.                 </t>
  </si>
  <si>
    <t xml:space="preserve">FRANKLIN                               </t>
  </si>
  <si>
    <t xml:space="preserve">CAREPLUS HEALTH PLAN                              </t>
  </si>
  <si>
    <t xml:space="preserve">P.O. BOX 31286                                    </t>
  </si>
  <si>
    <t>X0PDN</t>
  </si>
  <si>
    <t xml:space="preserve">RICHLAND COUNTY                                   </t>
  </si>
  <si>
    <t xml:space="preserve">LAURENS COUNTY                                    </t>
  </si>
  <si>
    <t xml:space="preserve">A78  </t>
  </si>
  <si>
    <t xml:space="preserve">HIGHWAY TO HEALTH (HTH)                           </t>
  </si>
  <si>
    <t xml:space="preserve">P.O. BOX 968                                      </t>
  </si>
  <si>
    <t xml:space="preserve">THIS CODE ASSIGNED BY SCHA.  NOT REQUESTED BY MEDICAID                                                                                      </t>
  </si>
  <si>
    <t xml:space="preserve">SIOUX VALLEY HEALTH                               </t>
  </si>
  <si>
    <t xml:space="preserve">P.O. BOX 91110                                    </t>
  </si>
  <si>
    <t xml:space="preserve">PO BOX 1007                                       </t>
  </si>
  <si>
    <t xml:space="preserve">C62  </t>
  </si>
  <si>
    <t xml:space="preserve">BCBS OF SC MEDICARE BLUE PRIVATE (PFFS)           </t>
  </si>
  <si>
    <t xml:space="preserve">P.O. BOX 100133                                   </t>
  </si>
  <si>
    <t xml:space="preserve">KERSHAW COUNTY                                    </t>
  </si>
  <si>
    <t xml:space="preserve">B46  </t>
  </si>
  <si>
    <t xml:space="preserve">PRUDENTIAL INSURANCE COMPANY OF AMERICA           </t>
  </si>
  <si>
    <t xml:space="preserve">THIS CARRIER BOUGHT OUT BY AETNA CC100                                                                                                      </t>
  </si>
  <si>
    <t xml:space="preserve">POSTMASTERS BENEFIT PLAN                          </t>
  </si>
  <si>
    <t xml:space="preserve">ALEXANDRIA                             </t>
  </si>
  <si>
    <t xml:space="preserve">PHYSICIANS HEALTH SERVICES                        </t>
  </si>
  <si>
    <t xml:space="preserve">P.O. BOX 981                                      </t>
  </si>
  <si>
    <t xml:space="preserve">AIKEN COUNTY                                      </t>
  </si>
  <si>
    <t xml:space="preserve">UNISON HEALTH PLAN  HMO                           </t>
  </si>
  <si>
    <t xml:space="preserve">D11  </t>
  </si>
  <si>
    <t xml:space="preserve">ADVANCED BENEFIT SOLUTIONS                        </t>
  </si>
  <si>
    <t xml:space="preserve">P.O. BOX 71490                                    </t>
  </si>
  <si>
    <t xml:space="preserve">CODE NOT REQUESTED BY MEDICAID ASSIGNED BY SCHA  MEDICARE SUPPLEMENTAL PLAN                                                                 </t>
  </si>
  <si>
    <t xml:space="preserve">A17  </t>
  </si>
  <si>
    <t xml:space="preserve">NOVA HEALTHCARE ADMINISTRATORS                    </t>
  </si>
  <si>
    <t xml:space="preserve">GRAND ISLAND                           </t>
  </si>
  <si>
    <t xml:space="preserve">RURAL CARRIER BENEFIT PLAN                        </t>
  </si>
  <si>
    <t xml:space="preserve">P O BOX 668329                                    </t>
  </si>
  <si>
    <t xml:space="preserve">C63  </t>
  </si>
  <si>
    <t xml:space="preserve">BCBS OF SC MEDICARE BLUE&amp;MEDICARE BLUE PLUS (PPO) </t>
  </si>
  <si>
    <t xml:space="preserve">C23  </t>
  </si>
  <si>
    <t xml:space="preserve">PROVIDENT HEALTH PLAN                             </t>
  </si>
  <si>
    <t xml:space="preserve">P.O. BOX 3125                                     </t>
  </si>
  <si>
    <t xml:space="preserve">HEALTHFIRST                                       </t>
  </si>
  <si>
    <t xml:space="preserve">P.O. BOX 130217                                   </t>
  </si>
  <si>
    <t xml:space="preserve">TYLER                                  </t>
  </si>
  <si>
    <t xml:space="preserve">CODE ASSIGNED BY SCHA  TPA                                                                                                                  </t>
  </si>
  <si>
    <t xml:space="preserve">AMERICAN MEDICAL SECURITY                         </t>
  </si>
  <si>
    <t xml:space="preserve">P.O. BOX 19032                                    </t>
  </si>
  <si>
    <t xml:space="preserve">PARTNERS NATIONAL HEALTH PLANS OF NORTH CAROLINA  </t>
  </si>
  <si>
    <t xml:space="preserve">P O BOX 17368                                     </t>
  </si>
  <si>
    <t xml:space="preserve">B50  </t>
  </si>
  <si>
    <t xml:space="preserve">MEMBER HEALTH                                     </t>
  </si>
  <si>
    <t xml:space="preserve">P.O. BOX 391180                                   </t>
  </si>
  <si>
    <t xml:space="preserve">B49  </t>
  </si>
  <si>
    <t xml:space="preserve">FALLON COMMUNITY HEALTH PLAN                      </t>
  </si>
  <si>
    <t xml:space="preserve">P.O. BOX 15121                                    </t>
  </si>
  <si>
    <t xml:space="preserve">WORCHESTER                             </t>
  </si>
  <si>
    <t>X0TDN</t>
  </si>
  <si>
    <t xml:space="preserve">BLUE CROSS OF ILLINOIS                            </t>
  </si>
  <si>
    <t xml:space="preserve">P O BOX 23059                                     </t>
  </si>
  <si>
    <t xml:space="preserve">BELLEVILLE                             </t>
  </si>
  <si>
    <t xml:space="preserve">E51  </t>
  </si>
  <si>
    <t xml:space="preserve">UNDERWRITERS SAFETY AND CLAIMS                    </t>
  </si>
  <si>
    <t xml:space="preserve">P.O. BOX 23507                                    </t>
  </si>
  <si>
    <t xml:space="preserve">MPI INTERNATIONAL, INC.                           </t>
  </si>
  <si>
    <t xml:space="preserve">P.O. BOX 81913                                    </t>
  </si>
  <si>
    <t xml:space="preserve">AMERICAN HEALTHCARE ALLIANCE                      </t>
  </si>
  <si>
    <t xml:space="preserve">P.O. BOX 8530                                     </t>
  </si>
  <si>
    <t>CAROLINA CARE PLAN/MEDICAL MUTUAL INS. CO. OF OHIO</t>
  </si>
  <si>
    <t xml:space="preserve">P.O. BOX 6018                                     </t>
  </si>
  <si>
    <t xml:space="preserve">PRIMARY PHYSICIANS CARE                           </t>
  </si>
  <si>
    <t xml:space="preserve">P.O. BOX 11088                                    </t>
  </si>
  <si>
    <t xml:space="preserve">C85  </t>
  </si>
  <si>
    <t xml:space="preserve">LOYAL AMERICAN LIFE INSURANCE COMPANY             </t>
  </si>
  <si>
    <t xml:space="preserve">P O BOX 559004                                    </t>
  </si>
  <si>
    <t xml:space="preserve">X0Y  </t>
  </si>
  <si>
    <t xml:space="preserve">P.O. BOX 105187                                   </t>
  </si>
  <si>
    <t xml:space="preserve">AMA INSURANCE AGNECY, INC.                        </t>
  </si>
  <si>
    <t xml:space="preserve">C24  </t>
  </si>
  <si>
    <t xml:space="preserve">ENCOMPASS HEALTH MANAGMENT SYSTEM                 </t>
  </si>
  <si>
    <t xml:space="preserve">X1J  </t>
  </si>
  <si>
    <t>BLUE CROSS &amp; BLUE SHIELD OF WESTERN NEW YORK, INC.</t>
  </si>
  <si>
    <t xml:space="preserve">P O BOX 80                                        </t>
  </si>
  <si>
    <t xml:space="preserve">MCCORMICK COUNTY                                  </t>
  </si>
  <si>
    <t xml:space="preserve">INTERGROUP SERVICES CORPORATION                   </t>
  </si>
  <si>
    <t xml:space="preserve">MALVERN                                </t>
  </si>
  <si>
    <t xml:space="preserve">X0Z  </t>
  </si>
  <si>
    <t xml:space="preserve">BLUE CROSS &amp; BLUE SHIELD OF MISSISSIPPI INC       </t>
  </si>
  <si>
    <t xml:space="preserve">P O BOX 1043                                      </t>
  </si>
  <si>
    <t xml:space="preserve">A32  </t>
  </si>
  <si>
    <t xml:space="preserve">MAGELLEN BEHAVIORAL HEALTH                        </t>
  </si>
  <si>
    <t xml:space="preserve">PO BOX 1659                                       </t>
  </si>
  <si>
    <t xml:space="preserve">MARYLAND HEIGHTS                       </t>
  </si>
  <si>
    <t xml:space="preserve">DILLON YARN MEDICAL BENEFITS                      </t>
  </si>
  <si>
    <t xml:space="preserve">DILLON                                 </t>
  </si>
  <si>
    <t xml:space="preserve">A49  </t>
  </si>
  <si>
    <t xml:space="preserve">ARIZONA FOUNDATION FOR MEDICAL CARE               </t>
  </si>
  <si>
    <t xml:space="preserve">P.O. BOX 2909                                     </t>
  </si>
  <si>
    <t xml:space="preserve">PHONEIX                                </t>
  </si>
  <si>
    <t xml:space="preserve">D01  </t>
  </si>
  <si>
    <t xml:space="preserve">INTERLINK HEALTH SERVICES                         </t>
  </si>
  <si>
    <t xml:space="preserve">HILLSBORO                              </t>
  </si>
  <si>
    <t xml:space="preserve">MED-TAC CLAIMS                                    </t>
  </si>
  <si>
    <t xml:space="preserve">P.O. BOX 9110                                     </t>
  </si>
  <si>
    <t xml:space="preserve">NEWTON                                 </t>
  </si>
  <si>
    <t xml:space="preserve">VALUE RX                                          </t>
  </si>
  <si>
    <t xml:space="preserve">PO BOX 421150                                     </t>
  </si>
  <si>
    <t xml:space="preserve">PLYMOUTH                               </t>
  </si>
  <si>
    <t xml:space="preserve">HORRY COUNTY                                      </t>
  </si>
  <si>
    <t xml:space="preserve">PHYSICIANS MUTUAL INSURANCE COMPANY               </t>
  </si>
  <si>
    <t xml:space="preserve">P.O. 2018                                         </t>
  </si>
  <si>
    <t xml:space="preserve">DO NOT USE THIS CODE FOR MEDICARE ADVANTAGE PLANS OFFERED BY THIS CARRIER                                                                   </t>
  </si>
  <si>
    <t xml:space="preserve">PITTMAN &amp; ASSOCIATES, INC.                        </t>
  </si>
  <si>
    <t xml:space="preserve">P.O. BOX 111047                                   </t>
  </si>
  <si>
    <t xml:space="preserve">A79  </t>
  </si>
  <si>
    <t xml:space="preserve">HEALTH SPECIAL RISK                               </t>
  </si>
  <si>
    <t xml:space="preserve">CARROLLTON                             </t>
  </si>
  <si>
    <t xml:space="preserve">UPSTATE ADMINISTRATIVE SERVICES                   </t>
  </si>
  <si>
    <t xml:space="preserve">P.O. BOX 6589                                     </t>
  </si>
  <si>
    <t xml:space="preserve">WAS GALLAGER &amp; BASSETT SERVICES                                                                                                             </t>
  </si>
  <si>
    <t xml:space="preserve">CENTRAL BENEFITS USA (CENBEN USA)                 </t>
  </si>
  <si>
    <t xml:space="preserve">P.O. BOX 619059                                   </t>
  </si>
  <si>
    <t xml:space="preserve">ALLIANCE HEALTH BENEFIT PLAN                      </t>
  </si>
  <si>
    <t xml:space="preserve">P O BOX 6443                                      </t>
  </si>
  <si>
    <t xml:space="preserve">X2I  </t>
  </si>
  <si>
    <t xml:space="preserve">BENOVATION                                        </t>
  </si>
  <si>
    <t xml:space="preserve">INTERNATIONAL UNION OF OPERATING ENGINEERS        </t>
  </si>
  <si>
    <t xml:space="preserve">METUCHEN                               </t>
  </si>
  <si>
    <t xml:space="preserve">DHEC HEMOPHILIA                                   </t>
  </si>
  <si>
    <t xml:space="preserve">CAIC (CONTINENTAL AMERICAN INS. CO)               </t>
  </si>
  <si>
    <t xml:space="preserve">P.O. BOX 6080226                                  </t>
  </si>
  <si>
    <t xml:space="preserve">MISSION VIEJO                          </t>
  </si>
  <si>
    <t xml:space="preserve">NEBCO (TENNECO)                                   </t>
  </si>
  <si>
    <t xml:space="preserve">SCRATNON                               </t>
  </si>
  <si>
    <t xml:space="preserve">A99  </t>
  </si>
  <si>
    <t xml:space="preserve">CHEROKEE INSURANCE                                </t>
  </si>
  <si>
    <t xml:space="preserve">P.O. BOX 853925                                   </t>
  </si>
  <si>
    <t xml:space="preserve">UICI ADMINISTRATORS                               </t>
  </si>
  <si>
    <t xml:space="preserve">P.O. BOX 30087                                    </t>
  </si>
  <si>
    <t xml:space="preserve">RENO                                   </t>
  </si>
  <si>
    <t xml:space="preserve">CONSOLIDATED WORKERS ASSOCIATION (CWA)            </t>
  </si>
  <si>
    <t xml:space="preserve">P.O. BOX 2647                                     </t>
  </si>
  <si>
    <t xml:space="preserve">CHINO HILLS                            </t>
  </si>
  <si>
    <t xml:space="preserve">INSURANCE COMPANY OF NORTH AMERICA (INA)          </t>
  </si>
  <si>
    <t xml:space="preserve">PYRAMID LIFE INSURANCE COMPANY                    </t>
  </si>
  <si>
    <t xml:space="preserve">P O BOX 772                                       </t>
  </si>
  <si>
    <t xml:space="preserve">A01  </t>
  </si>
  <si>
    <t xml:space="preserve">THRIVENT FINANCIAL FOR LUTHERANS                  </t>
  </si>
  <si>
    <t xml:space="preserve">D29  </t>
  </si>
  <si>
    <t xml:space="preserve">UNICARE LIFE &amp; HEALTH INS. CO (PFFS)              </t>
  </si>
  <si>
    <t>C41DN</t>
  </si>
  <si>
    <t xml:space="preserve">HEALTH EOS                                        </t>
  </si>
  <si>
    <t xml:space="preserve">P.O. BX 6090                                      </t>
  </si>
  <si>
    <t xml:space="preserve">DER PERE                               </t>
  </si>
  <si>
    <t xml:space="preserve">CODE ASSIGNED BY SCHA.  NOT REQUESTED BY MEDICAID                                                                                           </t>
  </si>
  <si>
    <t xml:space="preserve">D55  </t>
  </si>
  <si>
    <t xml:space="preserve">TOTAL CAROLINA CARE, INC                          </t>
  </si>
  <si>
    <t>B01DN</t>
  </si>
  <si>
    <t xml:space="preserve">HEALTH PARTNERS DENTAL                            </t>
  </si>
  <si>
    <t xml:space="preserve">P.O. BOX 1172                                     </t>
  </si>
  <si>
    <t xml:space="preserve">CARE LINK HEALTH PLAN                             </t>
  </si>
  <si>
    <t xml:space="preserve">P.O. BOX 7373                                     </t>
  </si>
  <si>
    <t xml:space="preserve">UNIVERSAL BENEFITS CORPORATION                    </t>
  </si>
  <si>
    <t xml:space="preserve">GOLDEN RULE INSURANCE COMPANY                     </t>
  </si>
  <si>
    <t xml:space="preserve">PO BOX 31374                                      </t>
  </si>
  <si>
    <t xml:space="preserve">B09  </t>
  </si>
  <si>
    <t xml:space="preserve">DEARBORN NATIONAL                                 </t>
  </si>
  <si>
    <t xml:space="preserve">P.O. BOX 23060                                    </t>
  </si>
  <si>
    <t xml:space="preserve">NEW ERA LIFE INSURANCE CO                         </t>
  </si>
  <si>
    <t xml:space="preserve">PO BOX 4884                                       </t>
  </si>
  <si>
    <t xml:space="preserve">FIRST AGENCY, INC.                                </t>
  </si>
  <si>
    <t xml:space="preserve">THIS CODE ASSIGNED BY SCHA  8/28/07                                                                                                         </t>
  </si>
  <si>
    <t xml:space="preserve">SHRINERS                                          </t>
  </si>
  <si>
    <t xml:space="preserve">A15  </t>
  </si>
  <si>
    <t xml:space="preserve">MANAGED PRESCRIPTIONS SERVICES (MPS)              </t>
  </si>
  <si>
    <t xml:space="preserve">ONE CITY CENTRE  SUITE 1100                       </t>
  </si>
  <si>
    <t xml:space="preserve">COLUMBIA UNIVERSAL LIFE INSURANCE CO.             </t>
  </si>
  <si>
    <t xml:space="preserve">POST OFFICE BOX 200225                            </t>
  </si>
  <si>
    <t xml:space="preserve">GUARANTEE TRUST LIFE INSURANCE                    </t>
  </si>
  <si>
    <t xml:space="preserve">GLENVIEW                               </t>
  </si>
  <si>
    <t xml:space="preserve">A48  </t>
  </si>
  <si>
    <t xml:space="preserve">QUALMED OF OREGON                                 </t>
  </si>
  <si>
    <t xml:space="preserve">PO BOX 286                                        </t>
  </si>
  <si>
    <t xml:space="preserve">CLACKMAS                               </t>
  </si>
  <si>
    <t xml:space="preserve">JEFFERSON PILOT INSURANCE COMPANY                 </t>
  </si>
  <si>
    <t xml:space="preserve">POST OFFICE BOX 26011                             </t>
  </si>
  <si>
    <t xml:space="preserve">CHP DIRECT/SUPERMED                               </t>
  </si>
  <si>
    <t xml:space="preserve">P.O. BOX 94648                                    </t>
  </si>
  <si>
    <t xml:space="preserve">TRUSTMARK INSURANCE CO.                           </t>
  </si>
  <si>
    <t xml:space="preserve">P.O. BOX 2942                                     </t>
  </si>
  <si>
    <t xml:space="preserve">USE THIS CARRIER FOR GROUPS WITH MORE THAN 50 EMPLOYEES. USE CCA03 FOR GROUPS LESS THAN 50 EMPLOYEES                                        </t>
  </si>
  <si>
    <t xml:space="preserve">C54  </t>
  </si>
  <si>
    <t xml:space="preserve">INTER-AMERICAS INS. CORP. (OOIDA)                 </t>
  </si>
  <si>
    <t xml:space="preserve">P.O. BOX 9510                                     </t>
  </si>
  <si>
    <t xml:space="preserve">EQUITABLE PLAN SERVICES                           </t>
  </si>
  <si>
    <t xml:space="preserve">P.O. BOX 720460                                   </t>
  </si>
  <si>
    <t xml:space="preserve">DHEC SICKLE CELL                                  </t>
  </si>
  <si>
    <t xml:space="preserve">FOUNDATION HEALTH                                 </t>
  </si>
  <si>
    <t xml:space="preserve">P.O. BOX 453219                                   </t>
  </si>
  <si>
    <t xml:space="preserve">SUNRISE                                </t>
  </si>
  <si>
    <t xml:space="preserve">PHYSICIANS CARE NETWORK                           </t>
  </si>
  <si>
    <t xml:space="preserve">P.O. BOX 101111                                   </t>
  </si>
  <si>
    <t xml:space="preserve">A18  </t>
  </si>
  <si>
    <t xml:space="preserve">MSH MOBILITY BENEFITS                             </t>
  </si>
  <si>
    <t xml:space="preserve">P.O. BOX 77                                       </t>
  </si>
  <si>
    <t xml:space="preserve">BEEBE PLAIN                            </t>
  </si>
  <si>
    <t>VT</t>
  </si>
  <si>
    <t xml:space="preserve">ALLEN MEDICAL CLAIMS ADMINISTRATORS               </t>
  </si>
  <si>
    <t xml:space="preserve">P.O. BOX 978                                      </t>
  </si>
  <si>
    <t xml:space="preserve">FT. VALLEY                             </t>
  </si>
  <si>
    <t xml:space="preserve">FREEDOM HEALTH                                    </t>
  </si>
  <si>
    <t xml:space="preserve">P.O. BOX 151348                                   </t>
  </si>
  <si>
    <t xml:space="preserve">NATIONAL HEALTH CARE HEALTH BENEFITS PLAN(NHC)    </t>
  </si>
  <si>
    <t xml:space="preserve">POST OFFICE BOX 1398                              </t>
  </si>
  <si>
    <t xml:space="preserve">MURFREESBORO                           </t>
  </si>
  <si>
    <t xml:space="preserve">LIFE OF THE SOUTH INSURANCE COMPANY               </t>
  </si>
  <si>
    <t xml:space="preserve">P.O. BOX 45237                                    </t>
  </si>
  <si>
    <t xml:space="preserve">THIS CODE ASSIGNED BY SCHA NOT A MEDICAID REQUEST                                                                                           </t>
  </si>
  <si>
    <t xml:space="preserve">COMPSYCH CORP.                                    </t>
  </si>
  <si>
    <t xml:space="preserve">P.O. BOX 8379                                     </t>
  </si>
  <si>
    <t xml:space="preserve">E.O.S. HEALTH                                     </t>
  </si>
  <si>
    <t xml:space="preserve">P.O. BOX 27088                                    </t>
  </si>
  <si>
    <t xml:space="preserve">TRICARE FOR LIFE                                  </t>
  </si>
  <si>
    <t xml:space="preserve">P.O. BOX 7890                                     </t>
  </si>
  <si>
    <t xml:space="preserve">B16  </t>
  </si>
  <si>
    <t xml:space="preserve">PARTNER RX MANAGEMENT                             </t>
  </si>
  <si>
    <t xml:space="preserve">P.O. BOX 12119                                    </t>
  </si>
  <si>
    <t xml:space="preserve">SCOTTSDALE                             </t>
  </si>
  <si>
    <t xml:space="preserve">B87  </t>
  </si>
  <si>
    <t xml:space="preserve">HEALTH ALLIANCE                                   </t>
  </si>
  <si>
    <t xml:space="preserve">P.O. BOX 6003                                     </t>
  </si>
  <si>
    <t xml:space="preserve">URBANA                                 </t>
  </si>
  <si>
    <t xml:space="preserve">D42  </t>
  </si>
  <si>
    <t xml:space="preserve">CARE IMPROVEMENT PLUS                             </t>
  </si>
  <si>
    <t xml:space="preserve">P.O. BOX 4347                                     </t>
  </si>
  <si>
    <t xml:space="preserve">D63  </t>
  </si>
  <si>
    <t xml:space="preserve">UNIVERA SENIOR CHOICE SECURE                      </t>
  </si>
  <si>
    <t xml:space="preserve">P O BOX 23000                                     </t>
  </si>
  <si>
    <t xml:space="preserve">E12  </t>
  </si>
  <si>
    <t xml:space="preserve">CAROLINA CRESCENT                                 </t>
  </si>
  <si>
    <t xml:space="preserve">D54  </t>
  </si>
  <si>
    <t xml:space="preserve">GATEWAY HEALTH PLAN MEDICARE ASSURED              </t>
  </si>
  <si>
    <t xml:space="preserve">P.O.BOX 11560                                     </t>
  </si>
  <si>
    <t xml:space="preserve">UNITED HEALTHCARE HERITAGE PLUS                   </t>
  </si>
  <si>
    <t xml:space="preserve">UHC OF RIVER VALLEY PO BOX 5230                   </t>
  </si>
  <si>
    <t xml:space="preserve">C76  </t>
  </si>
  <si>
    <t xml:space="preserve">SELF FUNDING ADMINISTRATORS                       </t>
  </si>
  <si>
    <t xml:space="preserve">P.O.BOX  6596                                     </t>
  </si>
  <si>
    <t xml:space="preserve">ANNAPOLIS                              </t>
  </si>
  <si>
    <t xml:space="preserve">X2K  </t>
  </si>
  <si>
    <t xml:space="preserve">CAPITAL BLUE CROSS                                </t>
  </si>
  <si>
    <t xml:space="preserve">P O BOX 779503                                    </t>
  </si>
  <si>
    <t xml:space="preserve">B27  </t>
  </si>
  <si>
    <t xml:space="preserve">HEALTH FIRST (PPO)                                </t>
  </si>
  <si>
    <t xml:space="preserve">P O BOX 17709                                     </t>
  </si>
  <si>
    <t xml:space="preserve">CONVENTRY HEALTHCARE OF NEBRASKA, INC.            </t>
  </si>
  <si>
    <t xml:space="preserve">P O BOX 7705                                      </t>
  </si>
  <si>
    <t xml:space="preserve">CIGNA HEALTHCARE OF SC/HEALTHSOURCE SC            </t>
  </si>
  <si>
    <t xml:space="preserve">P.O. BOX 190024                                   </t>
  </si>
  <si>
    <t xml:space="preserve">BOUGHT BY CIGNA HEALTHCARE CC 134                                                                                                           </t>
  </si>
  <si>
    <t xml:space="preserve">A80  </t>
  </si>
  <si>
    <t xml:space="preserve">TOTAL SCRIPT                                      </t>
  </si>
  <si>
    <t xml:space="preserve">BROOMFIELD                             </t>
  </si>
  <si>
    <t xml:space="preserve">STOWE ASSOCIATES                                  </t>
  </si>
  <si>
    <t xml:space="preserve">C42  </t>
  </si>
  <si>
    <t xml:space="preserve">STANDARD CORPORATION                              </t>
  </si>
  <si>
    <t xml:space="preserve">GROUP LINK                                        </t>
  </si>
  <si>
    <t xml:space="preserve">P.O. BOX 20593                                    </t>
  </si>
  <si>
    <t xml:space="preserve">PROVIDENT INDEMNITY LIFE INSURANCE COMPANY        </t>
  </si>
  <si>
    <t xml:space="preserve">PO BOX 511                                        </t>
  </si>
  <si>
    <t xml:space="preserve">NORRISTOWN                             </t>
  </si>
  <si>
    <t xml:space="preserve">PIEDMONT COMMUNITY HEALTHCARE INC.                </t>
  </si>
  <si>
    <t xml:space="preserve">P.O. BOX 14408                                    </t>
  </si>
  <si>
    <t xml:space="preserve">GUARDIAN INSURANCE COMPANY                        </t>
  </si>
  <si>
    <t xml:space="preserve">P O BOX 8007                                      </t>
  </si>
  <si>
    <t xml:space="preserve">HARVARD PILGRIM HEALTH CARE                       </t>
  </si>
  <si>
    <t xml:space="preserve">B41  </t>
  </si>
  <si>
    <t xml:space="preserve">VYTRA HEALTHCARE                                  </t>
  </si>
  <si>
    <t xml:space="preserve">P O BOX 9091                                      </t>
  </si>
  <si>
    <t xml:space="preserve">POMCO                                             </t>
  </si>
  <si>
    <t xml:space="preserve">P O BOX 6329                                      </t>
  </si>
  <si>
    <t xml:space="preserve">X2S  </t>
  </si>
  <si>
    <t xml:space="preserve">BLUE CROSS &amp; BLUE SHIELD OF VERMONT               </t>
  </si>
  <si>
    <t xml:space="preserve">P O BOX 186                                       </t>
  </si>
  <si>
    <t xml:space="preserve">MONTPELIER                             </t>
  </si>
  <si>
    <t xml:space="preserve">LEE COUNTY                                        </t>
  </si>
  <si>
    <t xml:space="preserve">CO9  </t>
  </si>
  <si>
    <t xml:space="preserve">EMPLOYEE BENEFITS TRUST                           </t>
  </si>
  <si>
    <t xml:space="preserve">P.O. BOX  1431                                    </t>
  </si>
  <si>
    <t xml:space="preserve">WICHITA FALLS                          </t>
  </si>
  <si>
    <t xml:space="preserve">CODE ASSIGNED WITH LETTER O INSTEAD OF NUMERIC ZERO.                                                                                        </t>
  </si>
  <si>
    <t xml:space="preserve">PHILADELPHIA AMERICAN LIFE INSURANCE CO           </t>
  </si>
  <si>
    <t xml:space="preserve">P.O. BOX 4884                                     </t>
  </si>
  <si>
    <t xml:space="preserve">KAISER PERMANENTE-OHIO REGION                     </t>
  </si>
  <si>
    <t xml:space="preserve">P.O. BOX 5316-9774                                </t>
  </si>
  <si>
    <t xml:space="preserve">KOHLER COMPANY                                    </t>
  </si>
  <si>
    <t xml:space="preserve">KOHLER                                 </t>
  </si>
  <si>
    <t xml:space="preserve">PREFERRED HEALTH PLAN, INC.                       </t>
  </si>
  <si>
    <t xml:space="preserve">P O BOX 24125                                     </t>
  </si>
  <si>
    <t xml:space="preserve">UNITED HEALTCARE PLAN OF RIVER VALLEY             </t>
  </si>
  <si>
    <t xml:space="preserve">THIS COMPANY BOUGHT OUT JOHN DEERE INS. CO.  6/29/07                                                                                        </t>
  </si>
  <si>
    <t xml:space="preserve">MCA ADMINISTRATORS (MANAGED CARE OF AMERICA)      </t>
  </si>
  <si>
    <t xml:space="preserve">MANOR OAK TWO, STE 605 1910 COCHRAN RD            </t>
  </si>
  <si>
    <t xml:space="preserve">WAS DIVERSIFIED GROUP ADMINISTRATORS                                                                                                        </t>
  </si>
  <si>
    <t xml:space="preserve">USAA GENERAL INDEMNITY CO.                        </t>
  </si>
  <si>
    <t xml:space="preserve">P.O. BOX 15506                                    </t>
  </si>
  <si>
    <t xml:space="preserve">WJB DORN VA MEDICAL CENTER                        </t>
  </si>
  <si>
    <t xml:space="preserve">SAVRX                                             </t>
  </si>
  <si>
    <t xml:space="preserve">P.O. BOX 8                                        </t>
  </si>
  <si>
    <t xml:space="preserve">FREEMONT                               </t>
  </si>
  <si>
    <t xml:space="preserve">A98  </t>
  </si>
  <si>
    <t xml:space="preserve">CORPORATE BENEFIT SERVICES OF AMERICA INC         </t>
  </si>
  <si>
    <t xml:space="preserve">P.O. BOX 738                                      </t>
  </si>
  <si>
    <t xml:space="preserve">HOPKINS                                </t>
  </si>
  <si>
    <t xml:space="preserve">CNA HEALTHCARE PARTNERS                           </t>
  </si>
  <si>
    <t xml:space="preserve">P. O. BOX 34197                                   </t>
  </si>
  <si>
    <t xml:space="preserve">DIAMOND G EMPLOYEE BENEFIT TRUST                  </t>
  </si>
  <si>
    <t xml:space="preserve">P O BOX 1298                                      </t>
  </si>
  <si>
    <t xml:space="preserve">CORESTAR                                          </t>
  </si>
  <si>
    <t xml:space="preserve">P.O. BOX 1195                                     </t>
  </si>
  <si>
    <t xml:space="preserve">UNITED HEALTH &amp; LIFE INSURANCE COMPANY            </t>
  </si>
  <si>
    <t xml:space="preserve">P.O. BOX 169050                                   </t>
  </si>
  <si>
    <t xml:space="preserve">USE CC113 UNITED HEALTHCARE                                                                                                                 </t>
  </si>
  <si>
    <t xml:space="preserve">PHOENIX HEALTHCARE                                </t>
  </si>
  <si>
    <t xml:space="preserve">A53  </t>
  </si>
  <si>
    <t xml:space="preserve">LONGSHORE &amp; HARBOR WORKERS COMP PROGRAM           </t>
  </si>
  <si>
    <t xml:space="preserve">B89  </t>
  </si>
  <si>
    <t xml:space="preserve">WESTERN &amp; SOUTHERN FINANCIAL GROUP                </t>
  </si>
  <si>
    <t xml:space="preserve">P.O. BOX 5735                                     </t>
  </si>
  <si>
    <t xml:space="preserve">B91  </t>
  </si>
  <si>
    <t xml:space="preserve">CHRISTIAN BROTHERS EMPLOYEE BENEFIT TRUST         </t>
  </si>
  <si>
    <t xml:space="preserve">ROMEOVILLE                             </t>
  </si>
  <si>
    <t xml:space="preserve">C71  </t>
  </si>
  <si>
    <t xml:space="preserve">JOHNS HOPKINS HEALTHCARE                          </t>
  </si>
  <si>
    <t>A20DN</t>
  </si>
  <si>
    <t xml:space="preserve">D47  </t>
  </si>
  <si>
    <t xml:space="preserve">TOUCHSTONE HEALTH PSO                             </t>
  </si>
  <si>
    <t xml:space="preserve">P.O. BOX 33519                                    </t>
  </si>
  <si>
    <t xml:space="preserve">C44  </t>
  </si>
  <si>
    <t xml:space="preserve">S C MEDICAL ASSOCIATION-MEMBERS INSURANCE TRUST   </t>
  </si>
  <si>
    <t xml:space="preserve">P O BOX 6927                                      </t>
  </si>
  <si>
    <t xml:space="preserve">PICKENS COUNTY                                    </t>
  </si>
  <si>
    <t xml:space="preserve">CAMERON AND ASSOCIATES                            </t>
  </si>
  <si>
    <t xml:space="preserve">UNITED FAMILY LIFE INSURANCE COMPANY              </t>
  </si>
  <si>
    <t xml:space="preserve">POST OFFICE BOX 2204                              </t>
  </si>
  <si>
    <t xml:space="preserve">A33  </t>
  </si>
  <si>
    <t xml:space="preserve">ALLIANT HEALTH PLANS, INC.                        </t>
  </si>
  <si>
    <t xml:space="preserve">P.O. BOX 21109                                    </t>
  </si>
  <si>
    <t xml:space="preserve">GROUP HEALTH INC. /EMBLEM HEALTH COMPANY          </t>
  </si>
  <si>
    <t xml:space="preserve">PO BOX 3000                                       </t>
  </si>
  <si>
    <t xml:space="preserve">MUTUAL MEDICAL PLANS                              </t>
  </si>
  <si>
    <t xml:space="preserve">P.O. BOX 689                                      </t>
  </si>
  <si>
    <t xml:space="preserve">NORWEST FINANCIAL                                 </t>
  </si>
  <si>
    <t xml:space="preserve">MARY BLACK HEALTHNETWORK                          </t>
  </si>
  <si>
    <t xml:space="preserve">B95  </t>
  </si>
  <si>
    <t xml:space="preserve">HDR EMPLOYEE BENEFITS ADMINISTRATORS              </t>
  </si>
  <si>
    <t xml:space="preserve">B85  </t>
  </si>
  <si>
    <t xml:space="preserve">TUFTS HEALTHCARE                                  </t>
  </si>
  <si>
    <t xml:space="preserve">P.O. BOX 9185                                     </t>
  </si>
  <si>
    <t xml:space="preserve">X2R  </t>
  </si>
  <si>
    <t xml:space="preserve">CROWN CORK &amp; SEAL COMPANY, INC.                   </t>
  </si>
  <si>
    <t xml:space="preserve">X0E  </t>
  </si>
  <si>
    <t xml:space="preserve">EMPIRE BLUE CROSS AND BLUE SHIELD                 </t>
  </si>
  <si>
    <t xml:space="preserve">P.O. BOX 1407 CHURCH ST. STATION                  </t>
  </si>
  <si>
    <t xml:space="preserve">EMPLOYEE SECURITY, INC                            </t>
  </si>
  <si>
    <t xml:space="preserve">MANHATTAN INSURANCE GROUP                         </t>
  </si>
  <si>
    <t xml:space="preserve">P.O. BOX 925309                                   </t>
  </si>
  <si>
    <t xml:space="preserve">DENTAQUEST                                        </t>
  </si>
  <si>
    <t xml:space="preserve">P.O. BOX 2136                                     </t>
  </si>
  <si>
    <t xml:space="preserve">NAIC 52040 MEDICAID DENTAL CLAIMS PROCESSOR                                                                                                 </t>
  </si>
  <si>
    <t xml:space="preserve">A66  </t>
  </si>
  <si>
    <t xml:space="preserve">SOUTHERN BENEFIT ADMINISTRATORS, INC.             </t>
  </si>
  <si>
    <t xml:space="preserve">A76  </t>
  </si>
  <si>
    <t xml:space="preserve">TOWER LIFE INS. CO.                               </t>
  </si>
  <si>
    <t xml:space="preserve">D03  </t>
  </si>
  <si>
    <t xml:space="preserve">PACIFIC SOURCE                                    </t>
  </si>
  <si>
    <t xml:space="preserve">EUGENE                                 </t>
  </si>
  <si>
    <t>B14DN</t>
  </si>
  <si>
    <t xml:space="preserve">PROFESSIONAL BENEFIT ADMINISTRATORS, INC. (PBA)   </t>
  </si>
  <si>
    <t xml:space="preserve">P.O. BOX 4687                                     </t>
  </si>
  <si>
    <t xml:space="preserve">INFORMED RX                                       </t>
  </si>
  <si>
    <t xml:space="preserve">P.O. BOX 5206                                     </t>
  </si>
  <si>
    <t xml:space="preserve">WAS NATIONAL MEDICAL HEALTH CARD                                                                                                            </t>
  </si>
  <si>
    <t xml:space="preserve">JOHN HANCOCK INSURANCE COMPANY                    </t>
  </si>
  <si>
    <t xml:space="preserve">P.O. BOX 852                                      </t>
  </si>
  <si>
    <t xml:space="preserve">P O BOX 2010                                      </t>
  </si>
  <si>
    <t xml:space="preserve">MAIL HANDLERS BENEFIT PLAN                        </t>
  </si>
  <si>
    <t xml:space="preserve">P O BOX 8402                                      </t>
  </si>
  <si>
    <t xml:space="preserve">GENERAL ADJUSTMENT BUREAU                         </t>
  </si>
  <si>
    <t xml:space="preserve">P.O. BOX 81808                                    </t>
  </si>
  <si>
    <t xml:space="preserve">A29  </t>
  </si>
  <si>
    <t xml:space="preserve">MERITAN HEALTH                                    </t>
  </si>
  <si>
    <t xml:space="preserve">P.O. BOX 80884                                    </t>
  </si>
  <si>
    <t xml:space="preserve">A77  </t>
  </si>
  <si>
    <t xml:space="preserve">SISCO                                             </t>
  </si>
  <si>
    <t xml:space="preserve">DUDUQUE                                </t>
  </si>
  <si>
    <t xml:space="preserve">GREENWOOD COUNTY                                  </t>
  </si>
  <si>
    <t xml:space="preserve">AFID (ASSO. OF FRANCHISE AND INDEPENDENT DIST.    </t>
  </si>
  <si>
    <t xml:space="preserve">ASSURANT HEALTH INSURANCE                         </t>
  </si>
  <si>
    <t xml:space="preserve">P O BOX 42033                                     </t>
  </si>
  <si>
    <t xml:space="preserve">HAZELWOOD                              </t>
  </si>
  <si>
    <t xml:space="preserve">CODE ASSIGED BY SCHA                                                                                                                        </t>
  </si>
  <si>
    <t xml:space="preserve">PHARMACY ADVANTAGE NETWORK                        </t>
  </si>
  <si>
    <t xml:space="preserve">CARELINK                                          </t>
  </si>
  <si>
    <t xml:space="preserve">CALHOUN COUNTY                                    </t>
  </si>
  <si>
    <t xml:space="preserve">BERKELEY COUNTY                                   </t>
  </si>
  <si>
    <t xml:space="preserve">OTHER SPONSOR                                     </t>
  </si>
  <si>
    <t xml:space="preserve">OUT-OF-STATE OTHER                                </t>
  </si>
  <si>
    <t xml:space="preserve">DHEC HIGH RISK MATERNITY                          </t>
  </si>
  <si>
    <t xml:space="preserve">AMERICAN FIDELITY ASSURANCE BENEFITS              </t>
  </si>
  <si>
    <t xml:space="preserve">POST OFFICE BOX 25160                             </t>
  </si>
  <si>
    <t xml:space="preserve">GROUP BENEFIT SERVICES                            </t>
  </si>
  <si>
    <t xml:space="preserve">LUTHERVILLE                            </t>
  </si>
  <si>
    <t xml:space="preserve">X0G  </t>
  </si>
  <si>
    <t xml:space="preserve">NALC HEALTH BENEFIT PLAN                          </t>
  </si>
  <si>
    <t xml:space="preserve">ASHBURN                                </t>
  </si>
  <si>
    <t xml:space="preserve">BOLLINGER INC                                     </t>
  </si>
  <si>
    <t xml:space="preserve">P.O. BOX 727                                      </t>
  </si>
  <si>
    <t xml:space="preserve">SHORT HILLS                            </t>
  </si>
  <si>
    <t xml:space="preserve">PHILADELPHIA AMERICAN LIFE INS. CO.               </t>
  </si>
  <si>
    <t xml:space="preserve">P.O. BOX 2465                                     </t>
  </si>
  <si>
    <t xml:space="preserve">J.F. MOLLOY &amp; ASSO.                               </t>
  </si>
  <si>
    <t xml:space="preserve">P.O. BOX 68947                                    </t>
  </si>
  <si>
    <t xml:space="preserve">SEE CARRIER 942 PRINCIPAL FINANCIAL GROUP                                                                                                   </t>
  </si>
  <si>
    <t xml:space="preserve">P.O. BOX 440                                      </t>
  </si>
  <si>
    <t xml:space="preserve">X2L  </t>
  </si>
  <si>
    <t xml:space="preserve">BLUE CROSS OF NORTHEASTERN PENNSYLVANIA           </t>
  </si>
  <si>
    <t xml:space="preserve">WILKES-BARRE                           </t>
  </si>
  <si>
    <t xml:space="preserve">RISK MANGEMENT SERVICES                           </t>
  </si>
  <si>
    <t xml:space="preserve">P.O. BOX 6309                                     </t>
  </si>
  <si>
    <t xml:space="preserve">SYRACUSE                               </t>
  </si>
  <si>
    <t xml:space="preserve">B28  </t>
  </si>
  <si>
    <t xml:space="preserve">THE STANDARD                                      </t>
  </si>
  <si>
    <t xml:space="preserve">P.O. BOX 82622                                    </t>
  </si>
  <si>
    <t xml:space="preserve">GENERAL PRESCRIPTION PROGRAMS INC                 </t>
  </si>
  <si>
    <t xml:space="preserve">CUNA MUTUAL INSURANCE GROUP                       </t>
  </si>
  <si>
    <t xml:space="preserve">POST OFFICE BOX 391                               </t>
  </si>
  <si>
    <t xml:space="preserve">CLAIMEDIX INC.                                    </t>
  </si>
  <si>
    <t xml:space="preserve">P.O. BOX 140067                                   </t>
  </si>
  <si>
    <t xml:space="preserve">COMMERCIAL TRAVELERS                              </t>
  </si>
  <si>
    <t xml:space="preserve">MERITAIN HEALTH                                   </t>
  </si>
  <si>
    <t xml:space="preserve">P O BOX 853921                                    </t>
  </si>
  <si>
    <t xml:space="preserve">WAS NORTH AMERICAN ADMINISTRATORS, INC.                                                                                                     </t>
  </si>
  <si>
    <t xml:space="preserve">BCBS OF TENNESSEE                                 </t>
  </si>
  <si>
    <t xml:space="preserve">A70  </t>
  </si>
  <si>
    <t xml:space="preserve">NATIONAL EMPLOYEE BENEFIT ADMINISTRATORS          </t>
  </si>
  <si>
    <t xml:space="preserve">WEST PALM BEACH                        </t>
  </si>
  <si>
    <t xml:space="preserve">B67  </t>
  </si>
  <si>
    <t xml:space="preserve">NAVITUS HEALTH SOLUTIONS LLC                      </t>
  </si>
  <si>
    <t xml:space="preserve">P.O. BOX 999                                      </t>
  </si>
  <si>
    <t xml:space="preserve">D37  </t>
  </si>
  <si>
    <t xml:space="preserve">WEST VIRGINIA LOCAL 152 HEALTH &amp; WELFARE          </t>
  </si>
  <si>
    <t xml:space="preserve">D99  </t>
  </si>
  <si>
    <t xml:space="preserve">MEDICARE ADVANTAGE                                </t>
  </si>
  <si>
    <t xml:space="preserve">MEDICARE ADVANTAGE PLAN GENERIC CODE                                                                                                        </t>
  </si>
  <si>
    <t xml:space="preserve">PERSONAL CARE                                     </t>
  </si>
  <si>
    <t xml:space="preserve">P.O. BOX 7141                                     </t>
  </si>
  <si>
    <t xml:space="preserve">GEORGIA HEALTHCARE PARTNERSHIP                    </t>
  </si>
  <si>
    <t xml:space="preserve">P.O. BOX 16388                                    </t>
  </si>
  <si>
    <t xml:space="preserve">CAREMARK                                          </t>
  </si>
  <si>
    <t xml:space="preserve">P.O. BOX 52195                                    </t>
  </si>
  <si>
    <t xml:space="preserve">ALL OTHER CARRIERS                                </t>
  </si>
  <si>
    <t xml:space="preserve">ACHA/CAREINGTON INTERNATIONAL CORP                </t>
  </si>
  <si>
    <t xml:space="preserve">P.O. BOX 2568                                     </t>
  </si>
  <si>
    <t xml:space="preserve">FRISCO                                 </t>
  </si>
  <si>
    <t xml:space="preserve">A31  </t>
  </si>
  <si>
    <t xml:space="preserve">UNITY HEALTH INSURANCE                            </t>
  </si>
  <si>
    <t xml:space="preserve">P.O. BOX 610                                      </t>
  </si>
  <si>
    <t xml:space="preserve">SAUK CITY                              </t>
  </si>
  <si>
    <t xml:space="preserve">A52  </t>
  </si>
  <si>
    <t xml:space="preserve">NATIONWIDE SPECIALITY HEALTH CLAIMS               </t>
  </si>
  <si>
    <t xml:space="preserve">P.O.BOX 420                                       </t>
  </si>
  <si>
    <t xml:space="preserve">C56  </t>
  </si>
  <si>
    <t xml:space="preserve">COMPDENT                                          </t>
  </si>
  <si>
    <t xml:space="preserve">C20  </t>
  </si>
  <si>
    <t xml:space="preserve">SCREEN ACTORS GUILD-PRODUCERS HEALTH PLAN         </t>
  </si>
  <si>
    <t xml:space="preserve">P.O. BOX 7830                                     </t>
  </si>
  <si>
    <t xml:space="preserve">BURBANK                                </t>
  </si>
  <si>
    <t xml:space="preserve">P.O. BOX 61505                                    </t>
  </si>
  <si>
    <t xml:space="preserve">KING OF PRUSSIA                        </t>
  </si>
  <si>
    <t xml:space="preserve">CODE NOT REQUESTED BY MEDCAID.  ASSIGNED BY SCHA                                                                                            </t>
  </si>
  <si>
    <t xml:space="preserve">HEALTH CARE SAVINGS, INC.                         </t>
  </si>
  <si>
    <t xml:space="preserve">BANKERS FIDELITY LIFE INS CO                      </t>
  </si>
  <si>
    <t xml:space="preserve">POST OFFICE BOX 190240                            </t>
  </si>
  <si>
    <t xml:space="preserve">MED BENEFITS SYSTEM                               </t>
  </si>
  <si>
    <t xml:space="preserve">P O BOX 177                                       </t>
  </si>
  <si>
    <t xml:space="preserve">MEDICARE PART B ONLY                              </t>
  </si>
  <si>
    <t xml:space="preserve">PENN GENERAL SERVICES                             </t>
  </si>
  <si>
    <t xml:space="preserve">P.O. BOX 72077                                    </t>
  </si>
  <si>
    <t xml:space="preserve">M-PLAN CARDINAL HEALTH                            </t>
  </si>
  <si>
    <t xml:space="preserve">P.O .BOX 357                                      </t>
  </si>
  <si>
    <t xml:space="preserve">LINTHICUM                              </t>
  </si>
  <si>
    <t xml:space="preserve">INTERNATIONAL MEDICAL GROUP                       </t>
  </si>
  <si>
    <t xml:space="preserve">COMPANION BENEFIT ALTERNATIVES                    </t>
  </si>
  <si>
    <t xml:space="preserve">P.O. BOX 100185                                   </t>
  </si>
  <si>
    <t xml:space="preserve">THIS CARRIER ASSIGNED BY SCHA NOT REQUESTED OR USED BY DHHS.                                                                                </t>
  </si>
  <si>
    <t xml:space="preserve">B38  </t>
  </si>
  <si>
    <t xml:space="preserve">MEDBEN                                            </t>
  </si>
  <si>
    <t xml:space="preserve">P.O. BOX 1009                                     </t>
  </si>
  <si>
    <t xml:space="preserve">COVENTRY HEATLH CARE RX                           </t>
  </si>
  <si>
    <t xml:space="preserve">P.O.BOX 8400                                      </t>
  </si>
  <si>
    <t xml:space="preserve">B66  </t>
  </si>
  <si>
    <t xml:space="preserve">KIRKE-VAN ORSDEL, INC.                            </t>
  </si>
  <si>
    <t xml:space="preserve">P.O. BOX 9126                                     </t>
  </si>
  <si>
    <t xml:space="preserve">USE CODE 759  MEDIPLUS PER SCHA                                                                                                             </t>
  </si>
  <si>
    <t xml:space="preserve">NATIONAL TELEPHONE COOP. ASSN.                    </t>
  </si>
  <si>
    <t xml:space="preserve">ASHEVILLE                              </t>
  </si>
  <si>
    <t xml:space="preserve">CONSUMER DRIVEN BENEFITS ASSO.                    </t>
  </si>
  <si>
    <t xml:space="preserve">P.O. BOX 6080-228                                 </t>
  </si>
  <si>
    <t xml:space="preserve">MISSION VIEIO                          </t>
  </si>
  <si>
    <t xml:space="preserve">EDUCATORS MUTUAL LIFE INSURANCE COMPANY           </t>
  </si>
  <si>
    <t xml:space="preserve">POST OFFICE BOX 3149                              </t>
  </si>
  <si>
    <t xml:space="preserve">MEDICARE INTERMEDIARY  PART A                                                                                                               </t>
  </si>
  <si>
    <t xml:space="preserve">B36  </t>
  </si>
  <si>
    <t xml:space="preserve">COMMONWEALTH INDEMITY PLAN                        </t>
  </si>
  <si>
    <t xml:space="preserve">P.O. BOX 9016                                     </t>
  </si>
  <si>
    <t xml:space="preserve">ANDOVER                                </t>
  </si>
  <si>
    <t xml:space="preserve">C75  </t>
  </si>
  <si>
    <t xml:space="preserve">FLORIDA 1ST SERVICE ADMINISTRATORS, INC.          </t>
  </si>
  <si>
    <t xml:space="preserve">P.O. BOX 3607                                     </t>
  </si>
  <si>
    <t xml:space="preserve">WINTER HAVEN                           </t>
  </si>
  <si>
    <t xml:space="preserve">C89  </t>
  </si>
  <si>
    <t xml:space="preserve">NEW SOURCES BENEFITS                              </t>
  </si>
  <si>
    <t xml:space="preserve">P.O. BOX 6305                                     </t>
  </si>
  <si>
    <t xml:space="preserve">D71  </t>
  </si>
  <si>
    <t xml:space="preserve">KEYSTONE 65                                       </t>
  </si>
  <si>
    <t xml:space="preserve">P.O.BOX 7799                                      </t>
  </si>
  <si>
    <t xml:space="preserve">SUMTER COUNTY                                     </t>
  </si>
  <si>
    <t xml:space="preserve">NEOA HEALTH BENEFITS FUND                         </t>
  </si>
  <si>
    <t xml:space="preserve">ALLIED NATIONAL, INC.                             </t>
  </si>
  <si>
    <t xml:space="preserve">P.O. BOX 419233                                   </t>
  </si>
  <si>
    <t xml:space="preserve">CARRIER WAS ALLIED GROUP INSURANCE TRUST                                                                                                    </t>
  </si>
  <si>
    <t xml:space="preserve">SOUTHLAND LIFE INSURANCE COMPANY                  </t>
  </si>
  <si>
    <t xml:space="preserve">DEPT CORRECTIONS                                  </t>
  </si>
  <si>
    <t xml:space="preserve">KLAIS &amp; COMPANY                                   </t>
  </si>
  <si>
    <t xml:space="preserve">APS HEALTHCARE, INC.                              </t>
  </si>
  <si>
    <t xml:space="preserve">P.O. BOX 1307                                     </t>
  </si>
  <si>
    <t xml:space="preserve">FIRST HEALTH (A COVENTRY HEALTH CARE CO)          </t>
  </si>
  <si>
    <t xml:space="preserve">PO BOX 21680                                      </t>
  </si>
  <si>
    <t xml:space="preserve">C51  </t>
  </si>
  <si>
    <t xml:space="preserve">YALE HEALTH PLAN                                  </t>
  </si>
  <si>
    <t xml:space="preserve">P.O.BOX 208217                                    </t>
  </si>
  <si>
    <t xml:space="preserve">NEW HAVEN                              </t>
  </si>
  <si>
    <t xml:space="preserve">X2Q  </t>
  </si>
  <si>
    <t xml:space="preserve">STARK TRUSS CO., INC.                             </t>
  </si>
  <si>
    <t xml:space="preserve">P.O. BOX 2080C                                    </t>
  </si>
  <si>
    <t xml:space="preserve">SELF INSURED BENEFIT ADMINISTRATORS               </t>
  </si>
  <si>
    <t xml:space="preserve">COOPERATIVE MANAGED CARE SERVICES LLC             </t>
  </si>
  <si>
    <t xml:space="preserve">P O BOX 502530                                    </t>
  </si>
  <si>
    <t xml:space="preserve">C37  </t>
  </si>
  <si>
    <t xml:space="preserve">OLD SURETY LIFE INSURANCE CO                      </t>
  </si>
  <si>
    <t xml:space="preserve">P O BOX 54407                                     </t>
  </si>
  <si>
    <t xml:space="preserve">DESERET SECURE                                    </t>
  </si>
  <si>
    <t xml:space="preserve">P.O. BOX 45530                                    </t>
  </si>
  <si>
    <t xml:space="preserve">BENEFIT CONCEPTS                                  </t>
  </si>
  <si>
    <t xml:space="preserve">P.O. BOX 60608                                    </t>
  </si>
  <si>
    <t xml:space="preserve">MEDCO HEALTH                                      </t>
  </si>
  <si>
    <t xml:space="preserve">P.O. BOX 8190                                     </t>
  </si>
  <si>
    <t xml:space="preserve">THIS CODE NOT REQUESTED BY MEDICAID.  ASSIGNED BY THE SCHA                                                                                  </t>
  </si>
  <si>
    <t xml:space="preserve">C31  </t>
  </si>
  <si>
    <t xml:space="preserve">CONSUMER HEALTH SOLUTIONS                         </t>
  </si>
  <si>
    <t xml:space="preserve">P.O. BOX 3492                                     </t>
  </si>
  <si>
    <t xml:space="preserve">THE CODE NOT REQUESTED BY MEDICAID.  ASSIGNED BY SCHA                                                                                       </t>
  </si>
  <si>
    <t xml:space="preserve">UNITED INSURANCE COMPANY OF AMERICA               </t>
  </si>
  <si>
    <t xml:space="preserve">HEALTH FIRST HEALTH PLANS                         </t>
  </si>
  <si>
    <t xml:space="preserve">P.O. BOX 565001                                   </t>
  </si>
  <si>
    <t xml:space="preserve">ROCKLEDGE                              </t>
  </si>
  <si>
    <t xml:space="preserve">LIFE INVESTORS INSURANCE COMPANY OF AMERICA       </t>
  </si>
  <si>
    <t xml:space="preserve">POST OFFICE BOX 8043                              </t>
  </si>
  <si>
    <t xml:space="preserve">AKA AEGON                                                                                                                                   </t>
  </si>
  <si>
    <t xml:space="preserve">FIDELITY SECURITY LIFE INSURANCE CO               </t>
  </si>
  <si>
    <t xml:space="preserve">MIDDLETOWN                             </t>
  </si>
  <si>
    <t xml:space="preserve">B55  </t>
  </si>
  <si>
    <t xml:space="preserve">US SCRIPTS                                        </t>
  </si>
  <si>
    <t xml:space="preserve">C99  </t>
  </si>
  <si>
    <t xml:space="preserve">MUTUAL PROTECTIVE MEDICO LIFE INS. CO.            </t>
  </si>
  <si>
    <t xml:space="preserve">CARRIER WAS PREVIOUSLY C35.                                                                                                                 </t>
  </si>
  <si>
    <t xml:space="preserve">P.O. BOX 30567                                    </t>
  </si>
  <si>
    <t xml:space="preserve">D33  </t>
  </si>
  <si>
    <t xml:space="preserve">ADVANTRA FREEDOM                                  </t>
  </si>
  <si>
    <t xml:space="preserve">P.O. BOX 7154                                     </t>
  </si>
  <si>
    <t xml:space="preserve">LINECO                                            </t>
  </si>
  <si>
    <t xml:space="preserve">LOMBARD                                </t>
  </si>
  <si>
    <t xml:space="preserve">DENTAL CARE PLUS                                  </t>
  </si>
  <si>
    <t xml:space="preserve">HOUSING BENEFIT PLAN                              </t>
  </si>
  <si>
    <t xml:space="preserve">P O BOX 542077                                    </t>
  </si>
  <si>
    <t xml:space="preserve">A21  </t>
  </si>
  <si>
    <t xml:space="preserve">PC HEALTH PLAN ADMINISTRATION                     </t>
  </si>
  <si>
    <t xml:space="preserve">P.O BOX 1377                                      </t>
  </si>
  <si>
    <t xml:space="preserve">AMERICAN INTERNATIONAL GROUP                      </t>
  </si>
  <si>
    <t xml:space="preserve">P.O. BOX 25050                                    </t>
  </si>
  <si>
    <t xml:space="preserve">X2G  </t>
  </si>
  <si>
    <t xml:space="preserve">BLUE CROSS &amp; BLUE SHIELD CENTRAL NEW YORK, INC.   </t>
  </si>
  <si>
    <t xml:space="preserve">P O BOX 4809                                      </t>
  </si>
  <si>
    <t xml:space="preserve">ARCADIAN MEMBER CARE                              </t>
  </si>
  <si>
    <t xml:space="preserve">BOARD OF PENSIONS EVANGELICAL LUTHERAN CHURCH     </t>
  </si>
  <si>
    <t xml:space="preserve">P O BOX 59093                                     </t>
  </si>
  <si>
    <t xml:space="preserve">FISERV HEALTH                                     </t>
  </si>
  <si>
    <t xml:space="preserve">BUTLER BENEFIT SERVICE, INC.                      </t>
  </si>
  <si>
    <t xml:space="preserve">P.O. BOX 3310                                     </t>
  </si>
  <si>
    <t xml:space="preserve">DAVENPORT                              </t>
  </si>
  <si>
    <t xml:space="preserve">HRM CLAIM MANAGEMENT                              </t>
  </si>
  <si>
    <t xml:space="preserve">P.O. BOX 4022                                     </t>
  </si>
  <si>
    <t xml:space="preserve">B01  </t>
  </si>
  <si>
    <t xml:space="preserve">HEALTH PARTNERS                                   </t>
  </si>
  <si>
    <t xml:space="preserve">P.O. BOX 1289                                     </t>
  </si>
  <si>
    <t xml:space="preserve">AMERICAN HERITAGE LIFE INSURANCE                  </t>
  </si>
  <si>
    <t xml:space="preserve">C28  </t>
  </si>
  <si>
    <t xml:space="preserve">BENEFIT PLAN MANAGEMENT                           </t>
  </si>
  <si>
    <t xml:space="preserve">P.O. BOX 536                                      </t>
  </si>
  <si>
    <t xml:space="preserve">ROCKLYN                                </t>
  </si>
  <si>
    <t xml:space="preserve">B34  </t>
  </si>
  <si>
    <t xml:space="preserve">ATLANTA LIFE INSURANCE COMPANY                    </t>
  </si>
  <si>
    <t xml:space="preserve">JULY PRODUCTS                                     </t>
  </si>
  <si>
    <t xml:space="preserve">COLONIAL LIFE AND ACCIDENT INSURANCE COMPANY      </t>
  </si>
  <si>
    <t xml:space="preserve">POST OFFICE BOX 1365                              </t>
  </si>
  <si>
    <t xml:space="preserve">HEALTHSOURE ADMINISTRATORS                        </t>
  </si>
  <si>
    <t xml:space="preserve">P.O. BOX 382617                                   </t>
  </si>
  <si>
    <t xml:space="preserve">PLUMBERS &amp; PIPEFITTERS LOCAL NO. 421              </t>
  </si>
  <si>
    <t xml:space="preserve">RIGHT CHOICE BENEFITS ADMINISTRATORS              </t>
  </si>
  <si>
    <t xml:space="preserve">ST LOUIS                               </t>
  </si>
  <si>
    <t xml:space="preserve">OPTIMUM HEALTH PARTNERS                           </t>
  </si>
  <si>
    <t xml:space="preserve">PO BOX 2243                                       </t>
  </si>
  <si>
    <t xml:space="preserve">PROVIDER SELECT, INC.                             </t>
  </si>
  <si>
    <t xml:space="preserve">P.O. BOX 330070                                   </t>
  </si>
  <si>
    <t xml:space="preserve">MEDIPLUS                                          </t>
  </si>
  <si>
    <t xml:space="preserve">AKA TROA                                                                                                                                    </t>
  </si>
  <si>
    <t xml:space="preserve">A28  </t>
  </si>
  <si>
    <t xml:space="preserve">SHENANDOAH LIFE INSURANCE CO                      </t>
  </si>
  <si>
    <t xml:space="preserve">PO BOX 12847                                      </t>
  </si>
  <si>
    <t xml:space="preserve">ROANOKE                                </t>
  </si>
  <si>
    <t xml:space="preserve">PACIFIC HEALTH ADMINISTRATORS                     </t>
  </si>
  <si>
    <t xml:space="preserve">P.O. BOX 620123                                   </t>
  </si>
  <si>
    <t xml:space="preserve">A88  </t>
  </si>
  <si>
    <t xml:space="preserve">WINDSOR STERLING                                  </t>
  </si>
  <si>
    <t xml:space="preserve">P.O. BOX 269003                                   </t>
  </si>
  <si>
    <t xml:space="preserve">P.O. BOX 14702                                    </t>
  </si>
  <si>
    <t xml:space="preserve">B80  </t>
  </si>
  <si>
    <t xml:space="preserve">INTEGRATED BEHAVIORAL HEALTH/IBH                  </t>
  </si>
  <si>
    <t xml:space="preserve">P.O. BOX 30018                                    </t>
  </si>
  <si>
    <t xml:space="preserve">LAGUNA NIGUEL                          </t>
  </si>
  <si>
    <t xml:space="preserve">STANDARD LIFE &amp; CASUALTY INSURANCE COMPANY        </t>
  </si>
  <si>
    <t xml:space="preserve">POST OFFICE DRAWER 1514                           </t>
  </si>
  <si>
    <t xml:space="preserve">SECURITY LIFE INSURANCE CO. OF AMERICA            </t>
  </si>
  <si>
    <t xml:space="preserve">POST OFFICE BOX 3199                              </t>
  </si>
  <si>
    <t xml:space="preserve">WINSTON-SALEM                          </t>
  </si>
  <si>
    <t xml:space="preserve">TEXAS INTERNATIONAL                               </t>
  </si>
  <si>
    <t xml:space="preserve">P.O. BOX 11007                                    </t>
  </si>
  <si>
    <t xml:space="preserve">HEALTH CLAIMS SERVICES,INC.                       </t>
  </si>
  <si>
    <t xml:space="preserve">P.O. BOX 9615                                     </t>
  </si>
  <si>
    <t xml:space="preserve">DEERFIELD BEACH                        </t>
  </si>
  <si>
    <t>X0ARX</t>
  </si>
  <si>
    <t xml:space="preserve">D51  </t>
  </si>
  <si>
    <t xml:space="preserve">D19  </t>
  </si>
  <si>
    <t xml:space="preserve">HEALTHFIRST 65 PLUS                               </t>
  </si>
  <si>
    <t xml:space="preserve">P.O. BOX 5196                                     </t>
  </si>
  <si>
    <t xml:space="preserve">CAROLINA BENEFIT ADMINISTRATORS                   </t>
  </si>
  <si>
    <t xml:space="preserve">P.O. BOX 3257                                     </t>
  </si>
  <si>
    <t xml:space="preserve">B45  </t>
  </si>
  <si>
    <t xml:space="preserve">ATLANTICARE                                       </t>
  </si>
  <si>
    <t xml:space="preserve">P.O. BOX 613                                      </t>
  </si>
  <si>
    <t xml:space="preserve">HAMMONTON                              </t>
  </si>
  <si>
    <t xml:space="preserve">HEALTHSOURCE OF NC INC                            </t>
  </si>
  <si>
    <t xml:space="preserve">PO BOX 28087                                      </t>
  </si>
  <si>
    <t xml:space="preserve">USE CODE 134  CIGNA HEALTHCARE                                                                                                              </t>
  </si>
  <si>
    <t xml:space="preserve">UNITED WORLD LIFE INS. CO.                        </t>
  </si>
  <si>
    <t xml:space="preserve">GMP EMPLOYERS RETIREE TRUST                       </t>
  </si>
  <si>
    <t xml:space="preserve">REGIONAL MEDICAL ADMINISTRATORS INC.              </t>
  </si>
  <si>
    <t xml:space="preserve">P.O. BOX 4128                                     </t>
  </si>
  <si>
    <t xml:space="preserve">GLEN RAVEN                             </t>
  </si>
  <si>
    <t xml:space="preserve">EMPLOYEE BENEFIT STRATEGIES                       </t>
  </si>
  <si>
    <t xml:space="preserve">MARYLAND PHYSICIANS CARE                          </t>
  </si>
  <si>
    <t xml:space="preserve">PO  BOX 61778                                     </t>
  </si>
  <si>
    <t xml:space="preserve">SAVERS LIFE INSURANCE COMPANY                     </t>
  </si>
  <si>
    <t xml:space="preserve">MEDICARE RAILROAD (PGBA) PROFESSIONAL PART B      </t>
  </si>
  <si>
    <t xml:space="preserve">P.O. BOX 10066                                    </t>
  </si>
  <si>
    <t xml:space="preserve">ST11-STRATEGIC HEALTH                             </t>
  </si>
  <si>
    <t xml:space="preserve">MIAMI SHORES                           </t>
  </si>
  <si>
    <t xml:space="preserve">X1P  </t>
  </si>
  <si>
    <t xml:space="preserve">BLUE CROSS &amp; BLUE SHIELD OF MINNESOTA             </t>
  </si>
  <si>
    <t xml:space="preserve">P O BOX 64338                                     </t>
  </si>
  <si>
    <t xml:space="preserve">LABORERS DISTRICT COUNCIL OF GA AND SC            </t>
  </si>
  <si>
    <t xml:space="preserve">P O BOX 607                                       </t>
  </si>
  <si>
    <t xml:space="preserve">JONESBORO                              </t>
  </si>
  <si>
    <t xml:space="preserve">WISCONSIN PHYSICIANS SERVICES                     </t>
  </si>
  <si>
    <t xml:space="preserve">UNIVERSITY HEALTH PLANS                           </t>
  </si>
  <si>
    <t xml:space="preserve">P.O. BOX 830926 DEPT 003                          </t>
  </si>
  <si>
    <t xml:space="preserve">GE LIFE &amp; ANNUITY ASSURANCE CO.                   </t>
  </si>
  <si>
    <t xml:space="preserve">P.O. BOX 6700                                     </t>
  </si>
  <si>
    <t xml:space="preserve">LYNCHBURG                              </t>
  </si>
  <si>
    <t xml:space="preserve">A16  </t>
  </si>
  <si>
    <t xml:space="preserve">FCE BENEFIT ADMINISTRATOR                         </t>
  </si>
  <si>
    <t xml:space="preserve">OLYMPIC HEALTH MANAGEMENT                         </t>
  </si>
  <si>
    <t xml:space="preserve">P.O.BOX 5348                                      </t>
  </si>
  <si>
    <t xml:space="preserve">C68  </t>
  </si>
  <si>
    <t xml:space="preserve">DENTAL BENEFIT PROVIDERS                          </t>
  </si>
  <si>
    <t xml:space="preserve">P.O. BOX 389                                      </t>
  </si>
  <si>
    <t xml:space="preserve">PACIFICARE                                        </t>
  </si>
  <si>
    <t xml:space="preserve">P.O. BOX 6099                                     </t>
  </si>
  <si>
    <t xml:space="preserve">UNITED CLAIMS SOLUTIONS                           </t>
  </si>
  <si>
    <t xml:space="preserve">COMBINED INSURANCE COMPANY OF AMERICA             </t>
  </si>
  <si>
    <t xml:space="preserve">VICARE PLUS                                       </t>
  </si>
  <si>
    <t xml:space="preserve">P.O. BOX 1710                                     </t>
  </si>
  <si>
    <t xml:space="preserve">SUFFOLK                                </t>
  </si>
  <si>
    <t xml:space="preserve">ANTHEM PRESCRIPITION MANAGEMENT                   </t>
  </si>
  <si>
    <t xml:space="preserve">P O BOX 145433                                    </t>
  </si>
  <si>
    <t xml:space="preserve">USE CARRIER A24                                                                                                                             </t>
  </si>
  <si>
    <t>X0QDN</t>
  </si>
  <si>
    <t xml:space="preserve">BLUE CROSS &amp; BLUE SHIELD OF MICHIGAN              </t>
  </si>
  <si>
    <t xml:space="preserve">P.O. BOX 49                                       </t>
  </si>
  <si>
    <t xml:space="preserve">PREFERRED HEALTH ALLIANCE CORP.                   </t>
  </si>
  <si>
    <t xml:space="preserve">P.O. BOX 382048                                   </t>
  </si>
  <si>
    <t xml:space="preserve">CORPORATE SYSTEMS ADMINISTRATION INC              </t>
  </si>
  <si>
    <t xml:space="preserve">P O BOX 4985                                      </t>
  </si>
  <si>
    <t xml:space="preserve">JOHNSON CITY                           </t>
  </si>
  <si>
    <t xml:space="preserve">A20  </t>
  </si>
  <si>
    <t xml:space="preserve">PROFESSIONAL CLAIMS MANAGEMENT                    </t>
  </si>
  <si>
    <t xml:space="preserve">PO BOX 35276                                      </t>
  </si>
  <si>
    <t xml:space="preserve">X1H  </t>
  </si>
  <si>
    <t xml:space="preserve">BLUE CROSS &amp; BLUE SHIELD OF CONNECTICUT INC       </t>
  </si>
  <si>
    <t xml:space="preserve">P O BOX 504                                       </t>
  </si>
  <si>
    <t xml:space="preserve">GREENVILLE COUNTY                                 </t>
  </si>
  <si>
    <t xml:space="preserve">BENEFIT ADMINISTRATORS INC                        </t>
  </si>
  <si>
    <t xml:space="preserve">P O BOX 6279                                      </t>
  </si>
  <si>
    <t xml:space="preserve">ERIE                                   </t>
  </si>
  <si>
    <t xml:space="preserve">X1W  </t>
  </si>
  <si>
    <t xml:space="preserve">BLUE CROSS &amp; BLUE SHIELD OF UTAH                  </t>
  </si>
  <si>
    <t xml:space="preserve">P O BOX 30270                                     </t>
  </si>
  <si>
    <t xml:space="preserve">B31  </t>
  </si>
  <si>
    <t xml:space="preserve">GREAT AMERICAN LIFE INS. CO (GALIC)               </t>
  </si>
  <si>
    <t xml:space="preserve">P.O. BOX 559002                                   </t>
  </si>
  <si>
    <t xml:space="preserve">PIONEER LIFE INSURANCE COMPANY OF ILLINOIS        </t>
  </si>
  <si>
    <t xml:space="preserve">P O BOX 1250                                      </t>
  </si>
  <si>
    <t xml:space="preserve">OLD AMERICAN INSURANCE COMPANY                    </t>
  </si>
  <si>
    <t xml:space="preserve">POST OFFICE BOX 418573                            </t>
  </si>
  <si>
    <t xml:space="preserve">MAKSIN MANAGMENT CORP                             </t>
  </si>
  <si>
    <t xml:space="preserve">CN98000                                           </t>
  </si>
  <si>
    <t xml:space="preserve">PENNSAUKEN                             </t>
  </si>
  <si>
    <t xml:space="preserve">ACS BENEFIT SERVICES, INC.                        </t>
  </si>
  <si>
    <t xml:space="preserve">P.O. BOX 2000                                     </t>
  </si>
  <si>
    <t xml:space="preserve">MHN (MANAGED HEALTH NETWORK)                      </t>
  </si>
  <si>
    <t xml:space="preserve">P.O. BOX 27018                                    </t>
  </si>
  <si>
    <t xml:space="preserve">UNIVERSAL FIDELITY LIFE INS. CO.                  </t>
  </si>
  <si>
    <t xml:space="preserve">P.O. BOX 1428                                     </t>
  </si>
  <si>
    <t xml:space="preserve">DUNCAN                                 </t>
  </si>
  <si>
    <t xml:space="preserve">WELLS FARGO TPA-NC OFFICES                        </t>
  </si>
  <si>
    <t xml:space="preserve">POST OFFICE BOX 2857                              </t>
  </si>
  <si>
    <t xml:space="preserve">FAYETTEVILLE                           </t>
  </si>
  <si>
    <t xml:space="preserve">J. SMITH LANIER                                   </t>
  </si>
  <si>
    <t xml:space="preserve">P.O. BOX 72749                                    </t>
  </si>
  <si>
    <t xml:space="preserve">NEWNAN                                 </t>
  </si>
  <si>
    <t xml:space="preserve">X1R  </t>
  </si>
  <si>
    <t xml:space="preserve">HIGHMARK BLUE CROSS BLUE SHIELD                   </t>
  </si>
  <si>
    <t xml:space="preserve">P O BOX 890173                                    </t>
  </si>
  <si>
    <t xml:space="preserve">CAMPHILL                               </t>
  </si>
  <si>
    <t xml:space="preserve">UNITED AMERICAN INSURANCE COMPANY                 </t>
  </si>
  <si>
    <t xml:space="preserve">POST OFFICE BOX 8080                              </t>
  </si>
  <si>
    <t xml:space="preserve">MCKINNEY                               </t>
  </si>
  <si>
    <t xml:space="preserve">MIDA DENTAL PLAN                                  </t>
  </si>
  <si>
    <t xml:space="preserve">FIRSERV HEALTH                                    </t>
  </si>
  <si>
    <t xml:space="preserve">P O BOX 182173                                    </t>
  </si>
  <si>
    <t xml:space="preserve">HYGEIA CORPORATION                                </t>
  </si>
  <si>
    <t xml:space="preserve">MIAMI LAKES                            </t>
  </si>
  <si>
    <t xml:space="preserve">C61  </t>
  </si>
  <si>
    <t xml:space="preserve">INSTILL HEALTH SYSTEMS (PPO)                      </t>
  </si>
  <si>
    <t xml:space="preserve">P.O. BOX 7061                                     </t>
  </si>
  <si>
    <t xml:space="preserve">X1N  </t>
  </si>
  <si>
    <t xml:space="preserve">MEDICAL SERVICE CORPORATION OF EASTERN WASHINGTON </t>
  </si>
  <si>
    <t xml:space="preserve">P O BOX 3048                                      </t>
  </si>
  <si>
    <t xml:space="preserve">SPOKANE                                </t>
  </si>
  <si>
    <t xml:space="preserve">MONUMENTAL LIFE INSURANCE COMPANY                 </t>
  </si>
  <si>
    <t xml:space="preserve">POST OFFICE BOX 61                                </t>
  </si>
  <si>
    <t xml:space="preserve">LINCOLN NATIONAL LIFE INSURANCE COMPANY           </t>
  </si>
  <si>
    <t xml:space="preserve">P O BOX 614008                                    </t>
  </si>
  <si>
    <t xml:space="preserve">PRIME THERAPEUDIC                                 </t>
  </si>
  <si>
    <t xml:space="preserve">P.O. BOX 14501                                    </t>
  </si>
  <si>
    <t xml:space="preserve">HEALTH PLAN SELECT                                </t>
  </si>
  <si>
    <t xml:space="preserve">P.O. BOX 382767                                   </t>
  </si>
  <si>
    <t xml:space="preserve">HEALTH CARE SUPPORT/PRIVATE HEALTH CARE SYSTEM    </t>
  </si>
  <si>
    <t xml:space="preserve">CIGNA BEHAVIORAL HEALTH                           </t>
  </si>
  <si>
    <t xml:space="preserve">P.O. BOX 46270                                    </t>
  </si>
  <si>
    <t xml:space="preserve">EDEN PRAIRIE                           </t>
  </si>
  <si>
    <t xml:space="preserve">STERLING MEDICARE CHOICE HMO                      </t>
  </si>
  <si>
    <t xml:space="preserve">P.O. BOX 70                                       </t>
  </si>
  <si>
    <t xml:space="preserve">LINTHIEUM                              </t>
  </si>
  <si>
    <t xml:space="preserve">D65  </t>
  </si>
  <si>
    <t xml:space="preserve">ANTHEM SENIOR ADVANTAGE                           </t>
  </si>
  <si>
    <t xml:space="preserve">P.O. BOX 37690                                    </t>
  </si>
  <si>
    <t xml:space="preserve">HEALTHSCOPE BENEFITS, INC.                        </t>
  </si>
  <si>
    <t xml:space="preserve">P.O. BOX 8076                                     </t>
  </si>
  <si>
    <t xml:space="preserve">D74  </t>
  </si>
  <si>
    <t xml:space="preserve">DART MANAGEMENT CORP                              </t>
  </si>
  <si>
    <t xml:space="preserve">P.O.BOX 318                                       </t>
  </si>
  <si>
    <t xml:space="preserve">MASON                                  </t>
  </si>
  <si>
    <t xml:space="preserve">WILLIAMSBURG COUNTY                               </t>
  </si>
  <si>
    <t xml:space="preserve">MAHONEY BENEFIT ADMINISTRATORS                    </t>
  </si>
  <si>
    <t xml:space="preserve">P.O. BOX 7260                                     </t>
  </si>
  <si>
    <t xml:space="preserve">A45  </t>
  </si>
  <si>
    <t xml:space="preserve">INTEQ GROUP                                       </t>
  </si>
  <si>
    <t xml:space="preserve">COMMERCE BENEFIT GROUP                            </t>
  </si>
  <si>
    <t xml:space="preserve">P.O. BOX 900                                      </t>
  </si>
  <si>
    <t xml:space="preserve">ELYRIA                                 </t>
  </si>
  <si>
    <t xml:space="preserve">HEALTH NET                                        </t>
  </si>
  <si>
    <t xml:space="preserve">P.O. BOX 14700                                    </t>
  </si>
  <si>
    <t xml:space="preserve">THIS CODE NOT REQUESTED BY SCHA.  ASSIGNED BY SCHA                                                                                          </t>
  </si>
  <si>
    <t xml:space="preserve">B03  </t>
  </si>
  <si>
    <t xml:space="preserve">CHESAPEAKE LIFE INS. CO.                          </t>
  </si>
  <si>
    <t xml:space="preserve">P.O. BOX 809025                                   </t>
  </si>
  <si>
    <t xml:space="preserve">P5 HEALTH PLAN SOLUTIONS                          </t>
  </si>
  <si>
    <t xml:space="preserve">P.O. BOX 9554                                     </t>
  </si>
  <si>
    <t xml:space="preserve">SALT LAKE                              </t>
  </si>
  <si>
    <t xml:space="preserve">WAS P5 ELECTRONIC HEALTH SERVICES                                                                                                           </t>
  </si>
  <si>
    <t xml:space="preserve">A51  </t>
  </si>
  <si>
    <t xml:space="preserve">COAL MINE WORKERS COMP PROGRAM                    </t>
  </si>
  <si>
    <t xml:space="preserve">WOODMAN OF THE WORLD LIFE INSURANCE SOCIETY       </t>
  </si>
  <si>
    <t xml:space="preserve">A43  </t>
  </si>
  <si>
    <t xml:space="preserve">PREMIER BENEFIT MANAGEMENT , INC.                 </t>
  </si>
  <si>
    <t xml:space="preserve">PENSAUKEN                              </t>
  </si>
  <si>
    <t xml:space="preserve">CHESTERFIELD RESOURCES, INC.                      </t>
  </si>
  <si>
    <t xml:space="preserve">P.O. BOX 1884                                     </t>
  </si>
  <si>
    <t xml:space="preserve">NETWORK HEALTH PLAN                               </t>
  </si>
  <si>
    <t xml:space="preserve">P.O. BOX 568                                      </t>
  </si>
  <si>
    <t xml:space="preserve">MENASHA                                </t>
  </si>
  <si>
    <t xml:space="preserve">PHOENIX MUTUAL LIFE INSURANCE COMPANY             </t>
  </si>
  <si>
    <t xml:space="preserve">ONE AMERICAN ROW                                  </t>
  </si>
  <si>
    <t xml:space="preserve">HARTFORD                               </t>
  </si>
  <si>
    <t xml:space="preserve">THIS CARRIER PURCHASED BY CC864 GE GROUP ADMINISTRATORS                                                                                     </t>
  </si>
  <si>
    <t xml:space="preserve">C25  </t>
  </si>
  <si>
    <t xml:space="preserve">MEDICAL CLAIMS SERVICES                           </t>
  </si>
  <si>
    <t xml:space="preserve">RAVENSWOOD                             </t>
  </si>
  <si>
    <t xml:space="preserve">X0V  </t>
  </si>
  <si>
    <t xml:space="preserve">BLUE SHIELD OF NORTHEASTERN NEW YORK              </t>
  </si>
  <si>
    <t xml:space="preserve">P.O. BOX 15013                                    </t>
  </si>
  <si>
    <t xml:space="preserve">A13  </t>
  </si>
  <si>
    <t xml:space="preserve">HOLDEN &amp; COMPANY                                  </t>
  </si>
  <si>
    <t xml:space="preserve">PO BOX 10411                                      </t>
  </si>
  <si>
    <t xml:space="preserve">A36  </t>
  </si>
  <si>
    <t xml:space="preserve">FIELDCREST CANNON (CANNON MILLS)                  </t>
  </si>
  <si>
    <t xml:space="preserve">P O BOX 5000                                      </t>
  </si>
  <si>
    <t xml:space="preserve">EDEN                                   </t>
  </si>
  <si>
    <t xml:space="preserve">CANADA LIFE ASSURANCE CO.                         </t>
  </si>
  <si>
    <t xml:space="preserve">ADMINISTRATIVE SOLUTIONS                          </t>
  </si>
  <si>
    <t xml:space="preserve">P.O. BOX 2490                                     </t>
  </si>
  <si>
    <t xml:space="preserve">A84  </t>
  </si>
  <si>
    <t xml:space="preserve">HCC LIFE INSURANCE COMPANY                        </t>
  </si>
  <si>
    <t xml:space="preserve">P.O.BOX 863                                       </t>
  </si>
  <si>
    <t xml:space="preserve">GREATER HEALTHCARE                                </t>
  </si>
  <si>
    <t xml:space="preserve">P.O. BOX 3400                                     </t>
  </si>
  <si>
    <t xml:space="preserve">DORCHESTER COUNTY                                 </t>
  </si>
  <si>
    <t xml:space="preserve">B74  </t>
  </si>
  <si>
    <t xml:space="preserve">STAR HRG                                          </t>
  </si>
  <si>
    <t xml:space="preserve">P.O. BOX 54150                                    </t>
  </si>
  <si>
    <t xml:space="preserve">B59  </t>
  </si>
  <si>
    <t xml:space="preserve">LDI INTEGRATED PHARMACY SERVICES                  </t>
  </si>
  <si>
    <t xml:space="preserve">CREVE COEUR                            </t>
  </si>
  <si>
    <t xml:space="preserve">UNITED HEALTHCARE COMMUNITY PLAN                  </t>
  </si>
  <si>
    <t xml:space="preserve">P.O. BOX 8207                                     </t>
  </si>
  <si>
    <t xml:space="preserve">KINGSTON                               </t>
  </si>
  <si>
    <t xml:space="preserve">POST OFFICE BOX 10136                             </t>
  </si>
  <si>
    <t xml:space="preserve">FAIRFAX                                </t>
  </si>
  <si>
    <t xml:space="preserve">A60  </t>
  </si>
  <si>
    <t xml:space="preserve">BLUE CHOICE HEALTHPLAN                            </t>
  </si>
  <si>
    <t xml:space="preserve">POST OFFICE BOX 6170                              </t>
  </si>
  <si>
    <t xml:space="preserve">WAS COMPANION HEALTHCARE  NAME CHANGE EFFECTIVE 7/1/05                                                                                      </t>
  </si>
  <si>
    <t xml:space="preserve">PREFERRED CARE                                    </t>
  </si>
  <si>
    <t xml:space="preserve">P O BOX 22920                                     </t>
  </si>
  <si>
    <t xml:space="preserve">X0K  </t>
  </si>
  <si>
    <t xml:space="preserve">REGENCE BLUE CROSS BLUE SHIELD OF OREGON          </t>
  </si>
  <si>
    <t xml:space="preserve">P O BOX 1271                                      </t>
  </si>
  <si>
    <t xml:space="preserve">FLORIDA HEALTH ALLIANCE                           </t>
  </si>
  <si>
    <t xml:space="preserve">P.O. BOX 10269                                    </t>
  </si>
  <si>
    <t xml:space="preserve">P.O. BOX 220887                                   </t>
  </si>
  <si>
    <t xml:space="preserve">THIRD PARTY ADMINISTRATORS/AMERICAN BENEFIT       </t>
  </si>
  <si>
    <t xml:space="preserve">NAPERVILLE                             </t>
  </si>
  <si>
    <t xml:space="preserve">EQUITABLE LIFE AND CASUALTY                       </t>
  </si>
  <si>
    <t xml:space="preserve">PO BOX 2460                                       </t>
  </si>
  <si>
    <t xml:space="preserve">SEABURY AND SMITH COMPANY, INC.                   </t>
  </si>
  <si>
    <t xml:space="preserve">P.O. BOX 2545                                     </t>
  </si>
  <si>
    <t xml:space="preserve">B07  </t>
  </si>
  <si>
    <t xml:space="preserve">MAGNACARE                                         </t>
  </si>
  <si>
    <t xml:space="preserve">P.O. BOX 1001                                     </t>
  </si>
  <si>
    <t xml:space="preserve">GARDEN CITY                            </t>
  </si>
  <si>
    <t xml:space="preserve">C60  </t>
  </si>
  <si>
    <t xml:space="preserve">INSTILL HEALTH SYSTEMS (FFS)                      </t>
  </si>
  <si>
    <t xml:space="preserve">PENN TREATY NETWORK AMERICA INS. CO.              </t>
  </si>
  <si>
    <t xml:space="preserve">P.O. BOX 7066                                     </t>
  </si>
  <si>
    <t xml:space="preserve">ALLENTOWN                              </t>
  </si>
  <si>
    <t xml:space="preserve">BLUE CHOICE/MEDICAID                              </t>
  </si>
  <si>
    <t xml:space="preserve">PO BOX 6170                                       </t>
  </si>
  <si>
    <t xml:space="preserve">A93  </t>
  </si>
  <si>
    <t xml:space="preserve">AMERICAN COLLEGE OF SURGEONS                      </t>
  </si>
  <si>
    <t xml:space="preserve">P.O. BOX 2522                                     </t>
  </si>
  <si>
    <t xml:space="preserve">VISION SERVICE PLAN                               </t>
  </si>
  <si>
    <t xml:space="preserve">PO BOX 997100                                     </t>
  </si>
  <si>
    <t xml:space="preserve">B13  </t>
  </si>
  <si>
    <t xml:space="preserve">WEB TPA                                           </t>
  </si>
  <si>
    <t xml:space="preserve">P.O. BOX 99906                                    </t>
  </si>
  <si>
    <t xml:space="preserve">C33  </t>
  </si>
  <si>
    <t xml:space="preserve">THE DESTINY HEALTH PLAN                           </t>
  </si>
  <si>
    <t xml:space="preserve">P.O. BOX 4628                                     </t>
  </si>
  <si>
    <t xml:space="preserve">OAKBROOK                               </t>
  </si>
  <si>
    <t xml:space="preserve">D30  </t>
  </si>
  <si>
    <t xml:space="preserve">UNITED HEALTHCARE INS. CO (PPO)                   </t>
  </si>
  <si>
    <t xml:space="preserve">P.O. BOX 150450                                   </t>
  </si>
  <si>
    <t xml:space="preserve">D23  </t>
  </si>
  <si>
    <t xml:space="preserve">AMERICA'S HEALTH CHOICE MEDICAL PLANS,(HMO)       </t>
  </si>
  <si>
    <t xml:space="preserve">VERO BEACH                             </t>
  </si>
  <si>
    <t xml:space="preserve">A95  </t>
  </si>
  <si>
    <t xml:space="preserve">REYNOLDS &amp; REYNOLDS                               </t>
  </si>
  <si>
    <t xml:space="preserve">DAYTON                                 </t>
  </si>
  <si>
    <t xml:space="preserve">RELIANCE STANDARD LIFE INS. CO.                   </t>
  </si>
  <si>
    <t xml:space="preserve">P.O. BOX 82520                                    </t>
  </si>
  <si>
    <t xml:space="preserve">BOYD CARE (BOYD BROTHERS TRANSPORTATION)          </t>
  </si>
  <si>
    <t xml:space="preserve">CLAYTON                                </t>
  </si>
  <si>
    <t xml:space="preserve">S&amp;S HEALTHCARE STRATEGIES                         </t>
  </si>
  <si>
    <t xml:space="preserve">P.O. BOX 46511                                    </t>
  </si>
  <si>
    <t xml:space="preserve">A91  </t>
  </si>
  <si>
    <t xml:space="preserve">STATES GENERAL LIFE INS. CO                       </t>
  </si>
  <si>
    <t xml:space="preserve">OCCIDENTAL LIFE INSURANCE COMPANY OF NC           </t>
  </si>
  <si>
    <t xml:space="preserve">PO BOX 10324                                      </t>
  </si>
  <si>
    <t xml:space="preserve">ALLIANCE PPO, INC.                                </t>
  </si>
  <si>
    <t xml:space="preserve">COVENTRY HEALTHCARE OF GEORGIA                    </t>
  </si>
  <si>
    <t xml:space="preserve">P.O. BOX 7711                                     </t>
  </si>
  <si>
    <t xml:space="preserve">GUIDESTAR HEALTH SYSTEMS                          </t>
  </si>
  <si>
    <t xml:space="preserve">P.O. BOX 35238                                    </t>
  </si>
  <si>
    <t xml:space="preserve">SIEBA, LTD                                        </t>
  </si>
  <si>
    <t xml:space="preserve">P.O. BOX 5000                                     </t>
  </si>
  <si>
    <t xml:space="preserve">ENDICOTT                               </t>
  </si>
  <si>
    <t xml:space="preserve">UNIVERA HEALTHCARE                                </t>
  </si>
  <si>
    <t xml:space="preserve">P.O. BOX 23000                                    </t>
  </si>
  <si>
    <t xml:space="preserve">UNITED BEHAVIORAL HEALTH                          </t>
  </si>
  <si>
    <t xml:space="preserve">P.O. BOX 169053                                   </t>
  </si>
  <si>
    <t xml:space="preserve">NATIONAL DISASTER MEDICAL SYSTEM                  </t>
  </si>
  <si>
    <t xml:space="preserve">C86  </t>
  </si>
  <si>
    <t xml:space="preserve">NATIONAL STATES INSURANCE COMPANY                 </t>
  </si>
  <si>
    <t xml:space="preserve">P O BOX 27321,  1830 CRAIG PARK COURT             </t>
  </si>
  <si>
    <t xml:space="preserve">C26  </t>
  </si>
  <si>
    <t xml:space="preserve">INTERACTIVE MEDICAL SYSTEMS, INC.                 </t>
  </si>
  <si>
    <t xml:space="preserve">P O BOX 19108                                     </t>
  </si>
  <si>
    <t xml:space="preserve">FEDEX FREIGHTWAYS                                 </t>
  </si>
  <si>
    <t xml:space="preserve">P O BOX 840                                       </t>
  </si>
  <si>
    <t xml:space="preserve">HARRISON                               </t>
  </si>
  <si>
    <t xml:space="preserve">SAMBA HEALTH BENEFIT PLAN                         </t>
  </si>
  <si>
    <t xml:space="preserve">WISCONSIN ELECTRICAL EMPLOYEES                    </t>
  </si>
  <si>
    <t xml:space="preserve">P.O. BOX 2430                                     </t>
  </si>
  <si>
    <t xml:space="preserve">A41  </t>
  </si>
  <si>
    <t xml:space="preserve">CLAIMS MANAGEMENT SERVICES                        </t>
  </si>
  <si>
    <t xml:space="preserve">PO BOX 10888                                      </t>
  </si>
  <si>
    <t xml:space="preserve">GREENBAY                               </t>
  </si>
  <si>
    <t xml:space="preserve">EMPLOYEE BENEFIT PLAN ADMINISTRATORS              </t>
  </si>
  <si>
    <t xml:space="preserve">PO BOX 2000                                       </t>
  </si>
  <si>
    <t xml:space="preserve">HAMPTON                                </t>
  </si>
  <si>
    <t xml:space="preserve">AMERITAS LIFE INSURANCE                           </t>
  </si>
  <si>
    <t xml:space="preserve">P O BOX 82520                                     </t>
  </si>
  <si>
    <t xml:space="preserve">A64  </t>
  </si>
  <si>
    <t xml:space="preserve">NTCA (NAT'L TELECOMMUNICATIONS COOPERATIVE ASSO.) </t>
  </si>
  <si>
    <t xml:space="preserve">ONE WEST PACK SQUARE STE 600                      </t>
  </si>
  <si>
    <t xml:space="preserve">X0L  </t>
  </si>
  <si>
    <t xml:space="preserve">BLUE CROSS &amp; BLUE SHIELD OF DELAWARE INC          </t>
  </si>
  <si>
    <t xml:space="preserve">P O BOX 1991                                      </t>
  </si>
  <si>
    <t xml:space="preserve">NEW ENGLAND LIFE INSURANCE                        </t>
  </si>
  <si>
    <t xml:space="preserve">NORTH OLMSTED                          </t>
  </si>
  <si>
    <t xml:space="preserve">B08  </t>
  </si>
  <si>
    <t xml:space="preserve">AMFIRST INSURANCE CO                              </t>
  </si>
  <si>
    <t xml:space="preserve">P.O. BOX 16708                                    </t>
  </si>
  <si>
    <t xml:space="preserve">B18  </t>
  </si>
  <si>
    <t xml:space="preserve">LUMENOS                                           </t>
  </si>
  <si>
    <t xml:space="preserve">P.O. BOX 69309                                    </t>
  </si>
  <si>
    <t xml:space="preserve">PHYSICIANS PLUS INS. CO.                          </t>
  </si>
  <si>
    <t xml:space="preserve">P.O. BOX 909953                                   </t>
  </si>
  <si>
    <t xml:space="preserve">E37  </t>
  </si>
  <si>
    <t>X0KRX</t>
  </si>
  <si>
    <t xml:space="preserve">P.O .BOX 12625  MAILSTOP S4P                      </t>
  </si>
  <si>
    <t xml:space="preserve">RX PLAN ONLY X0K IS MM PLAN                                                                                                                 </t>
  </si>
  <si>
    <t xml:space="preserve">GUARDIAN LIFE INSURANCE CO. OF AMERICA            </t>
  </si>
  <si>
    <t xml:space="preserve">P.O. BOX 2459                                     </t>
  </si>
  <si>
    <t xml:space="preserve">OPTIMA HEALTH PLAN                                </t>
  </si>
  <si>
    <t xml:space="preserve">P O BOX 5028                                      </t>
  </si>
  <si>
    <t xml:space="preserve">D21  </t>
  </si>
  <si>
    <t xml:space="preserve">CARITEN SENIOR HEALTH                             </t>
  </si>
  <si>
    <t xml:space="preserve">P.O. BOX 22885                                    </t>
  </si>
  <si>
    <t xml:space="preserve">D31  </t>
  </si>
  <si>
    <t xml:space="preserve">LEON MEDICAL CENTER HEALTH PLAN                   </t>
  </si>
  <si>
    <t xml:space="preserve">P.O. BOX 65-9006                                  </t>
  </si>
  <si>
    <t xml:space="preserve">J.P. FARLEY CORP.                                 </t>
  </si>
  <si>
    <t xml:space="preserve">P.O. BOX 458022                                   </t>
  </si>
  <si>
    <t xml:space="preserve">WESTLAKE                               </t>
  </si>
  <si>
    <t xml:space="preserve">TRICARE SOUTH REGION                              </t>
  </si>
  <si>
    <t xml:space="preserve">P.O. BOX 7031                                     </t>
  </si>
  <si>
    <t xml:space="preserve">INTERNET WWW.MYTRICARE.COM                                                                                                                  </t>
  </si>
  <si>
    <t xml:space="preserve">STATE OF NC COMP. HEALTH BENEFIT                  </t>
  </si>
  <si>
    <t xml:space="preserve">P O BOX 30025                                     </t>
  </si>
  <si>
    <t xml:space="preserve">SELECT HEALTH OF SOUTH CAROLINA INC               </t>
  </si>
  <si>
    <t xml:space="preserve">EMPLOYERS LIFE INSURANCE COMPANY                  </t>
  </si>
  <si>
    <t xml:space="preserve">CARRIER WAS COASTAL STATE LIFE INS. CO.                                                                                                     </t>
  </si>
  <si>
    <t xml:space="preserve">C73  </t>
  </si>
  <si>
    <t xml:space="preserve">UNION PACIFIC RAILROAD EMPLOYEES HEALTH           </t>
  </si>
  <si>
    <t xml:space="preserve">C50  </t>
  </si>
  <si>
    <t xml:space="preserve">TENNESSEE BENEFIT  ADMINISTATORS                  </t>
  </si>
  <si>
    <t xml:space="preserve">X1L  </t>
  </si>
  <si>
    <t xml:space="preserve">BLUE CROSS &amp; BLUE SHIELD OF LOUISIANA             </t>
  </si>
  <si>
    <t xml:space="preserve">P O BOX 98029                                     </t>
  </si>
  <si>
    <t xml:space="preserve">C17  </t>
  </si>
  <si>
    <t xml:space="preserve">NATIONAL BENEFITS                                 </t>
  </si>
  <si>
    <t xml:space="preserve">U.A. LOCAL 446 PLUMBERS AND PIPEFITTERS           </t>
  </si>
  <si>
    <t xml:space="preserve">P.O. BOX 191030                                   </t>
  </si>
  <si>
    <t xml:space="preserve">AFTRA HEALTH FUND                                 </t>
  </si>
  <si>
    <t xml:space="preserve">MEDICAL SAVINGS HEALTH PLAN                       </t>
  </si>
  <si>
    <t xml:space="preserve">MIDDLETON                              </t>
  </si>
  <si>
    <t xml:space="preserve">A26  </t>
  </si>
  <si>
    <t xml:space="preserve">MARKEL SMART STM                                  </t>
  </si>
  <si>
    <t xml:space="preserve">P.O. BOX 15953                                    </t>
  </si>
  <si>
    <t xml:space="preserve">X0Q  </t>
  </si>
  <si>
    <t xml:space="preserve">BOARD OF PENSIONS OF THE PRESBYTERIAN CHURCH OF   </t>
  </si>
  <si>
    <t xml:space="preserve">P.O. BOX 13896                                    </t>
  </si>
  <si>
    <t xml:space="preserve">BENICOMP                                          </t>
  </si>
  <si>
    <t xml:space="preserve">ICON BENEFIT ADMINISTRATORS, INC.                 </t>
  </si>
  <si>
    <t xml:space="preserve">MEDICAID, SC                                      </t>
  </si>
  <si>
    <t xml:space="preserve">DHEC C. CHILDREN                                  </t>
  </si>
  <si>
    <t xml:space="preserve">VOCA.REHAB GENERAL                                </t>
  </si>
  <si>
    <t xml:space="preserve">SOUTHEASTERN BENEFIT PLANS INC.                   </t>
  </si>
  <si>
    <t xml:space="preserve">EMPLOYEE BENEFITS MANAGEMENT CORPORATION          </t>
  </si>
  <si>
    <t xml:space="preserve">C07  </t>
  </si>
  <si>
    <t xml:space="preserve">AMERIBEN SOLUTIONS                                </t>
  </si>
  <si>
    <t xml:space="preserve">P.O. BOX 7186                                     </t>
  </si>
  <si>
    <t xml:space="preserve">CAPITAL DISTRICT PHYSICIANS PLAN                  </t>
  </si>
  <si>
    <t xml:space="preserve">P.O. BOX 66602                                    </t>
  </si>
  <si>
    <t xml:space="preserve">SPARTANBURG REGIONAL HEALTHCARE SYSTEM            </t>
  </si>
  <si>
    <t xml:space="preserve">P.O. BOX 1000                                     </t>
  </si>
  <si>
    <t xml:space="preserve">HEALTHSCOPE BENEFITS, INC..                       </t>
  </si>
  <si>
    <t xml:space="preserve">BENEFIT PLANNERS, INC                             </t>
  </si>
  <si>
    <t xml:space="preserve">P.O. BOX 682010                                   </t>
  </si>
  <si>
    <t xml:space="preserve">CATALYST RX                                       </t>
  </si>
  <si>
    <t xml:space="preserve">P.O. BOX 1069                                     </t>
  </si>
  <si>
    <t xml:space="preserve">UNITED TEACHERS ASSOCIATION                       </t>
  </si>
  <si>
    <t xml:space="preserve">UNIFORM MEDICAL PLAN                              </t>
  </si>
  <si>
    <t xml:space="preserve">P.O. BOX 34850                                    </t>
  </si>
  <si>
    <t xml:space="preserve">SUPERIOR ESSEX                                    </t>
  </si>
  <si>
    <t xml:space="preserve">P.O. BOX 724907                                   </t>
  </si>
  <si>
    <t xml:space="preserve">HEALTHFIRST HMO                                   </t>
  </si>
  <si>
    <t xml:space="preserve">AETNA US HEALTHCARE                               </t>
  </si>
  <si>
    <t xml:space="preserve">PO BOX 14094                                      </t>
  </si>
  <si>
    <t xml:space="preserve">D53  </t>
  </si>
  <si>
    <t xml:space="preserve">SIERRA OPTIMA PLUS CLAIMS                         </t>
  </si>
  <si>
    <t xml:space="preserve">X1Q  </t>
  </si>
  <si>
    <t xml:space="preserve">BLUE CROSS &amp; BLUE SHIELD OF MAINE                 </t>
  </si>
  <si>
    <t xml:space="preserve">SOUTH PORTLAND                         </t>
  </si>
  <si>
    <t>ME</t>
  </si>
  <si>
    <t xml:space="preserve">EXPRESS SCRIPTS                                   </t>
  </si>
  <si>
    <t xml:space="preserve">P.O. BOX 2849                                     </t>
  </si>
  <si>
    <t xml:space="preserve">MDI GOVERNMENT HEALTH SERVICES                    </t>
  </si>
  <si>
    <t xml:space="preserve">PONTE VEDRA BEACH                      </t>
  </si>
  <si>
    <t xml:space="preserve">MASTER HEALTH PLAN                                </t>
  </si>
  <si>
    <t xml:space="preserve">P O BOX 16367                                     </t>
  </si>
  <si>
    <t xml:space="preserve">C14  </t>
  </si>
  <si>
    <t xml:space="preserve">COASTAL LUMBER CO                                 </t>
  </si>
  <si>
    <t xml:space="preserve">P O BOX 1576                                      </t>
  </si>
  <si>
    <t xml:space="preserve">WALTERBORO                             </t>
  </si>
  <si>
    <t xml:space="preserve">EASTERN BENEFIT SYSTEMS                           </t>
  </si>
  <si>
    <t xml:space="preserve">EAST ORANGE                            </t>
  </si>
  <si>
    <t xml:space="preserve">CHESTER COUNTY                                    </t>
  </si>
  <si>
    <t xml:space="preserve">B75  </t>
  </si>
  <si>
    <t xml:space="preserve">HEALTH DESIGN PLUS                                </t>
  </si>
  <si>
    <t xml:space="preserve">P.O. BOX 2584                                     </t>
  </si>
  <si>
    <t xml:space="preserve">HUDSON                                 </t>
  </si>
  <si>
    <t xml:space="preserve">A47  </t>
  </si>
  <si>
    <t xml:space="preserve">LIFE &amp; CASUALTY INSURANCE COMPANY OF TENNESSEE    </t>
  </si>
  <si>
    <t xml:space="preserve">AMERICAN GENERAL CENTER                           </t>
  </si>
  <si>
    <t xml:space="preserve">AMERICAN GENERAL LIFE AND ACCIDENT INS CO         </t>
  </si>
  <si>
    <t xml:space="preserve">P.O. BOX 1500                                     </t>
  </si>
  <si>
    <t xml:space="preserve">HARTFORD INSURANCE GROUP                          </t>
  </si>
  <si>
    <t xml:space="preserve">P O BOX 25600                                     </t>
  </si>
  <si>
    <t xml:space="preserve">CAROLINA CONTINENTAL INSURANCE                    </t>
  </si>
  <si>
    <t xml:space="preserve">POST OFFICE BOX 427                               </t>
  </si>
  <si>
    <t xml:space="preserve">TOTAL BENEFIT SERVICES INC                        </t>
  </si>
  <si>
    <t xml:space="preserve">PO BOX 30180                                      </t>
  </si>
  <si>
    <t xml:space="preserve">NEW ORLEANS                            </t>
  </si>
  <si>
    <t xml:space="preserve">CELTIC LIFE INSURANCE CO.                         </t>
  </si>
  <si>
    <t xml:space="preserve">P O BOX 46337                                     </t>
  </si>
  <si>
    <t xml:space="preserve">B04  </t>
  </si>
  <si>
    <t xml:space="preserve">CARITEN HEALTHCARE                                </t>
  </si>
  <si>
    <t xml:space="preserve">P O BOX 22987                                     </t>
  </si>
  <si>
    <t xml:space="preserve">COOPERATIVE BENEFITS ADMINISTRATORS               </t>
  </si>
  <si>
    <t xml:space="preserve">POST OFFICE BOX 6249                              </t>
  </si>
  <si>
    <t xml:space="preserve">LINCOLN                                </t>
  </si>
  <si>
    <t xml:space="preserve">LEGGETT &amp; PLATT                                   </t>
  </si>
  <si>
    <t xml:space="preserve">P.O. BOX 7687                                     </t>
  </si>
  <si>
    <t xml:space="preserve">HIGH POINT                             </t>
  </si>
  <si>
    <t xml:space="preserve">C10  </t>
  </si>
  <si>
    <t xml:space="preserve">ZAVATA                                            </t>
  </si>
  <si>
    <t xml:space="preserve">P O BOX 1208                                      </t>
  </si>
  <si>
    <t xml:space="preserve">AMERICUS                               </t>
  </si>
  <si>
    <t xml:space="preserve">WAS PARADIGM CARE PLAN                                                                                                                      </t>
  </si>
  <si>
    <t xml:space="preserve">SECURIAN DENTAL PLANS                             </t>
  </si>
  <si>
    <t xml:space="preserve">P.O. BOX 9385                                     </t>
  </si>
  <si>
    <t xml:space="preserve">A10  </t>
  </si>
  <si>
    <t xml:space="preserve">AMERISCRIPT                                       </t>
  </si>
  <si>
    <t xml:space="preserve">STOW                                   </t>
  </si>
  <si>
    <t xml:space="preserve">PACIFIC LIFE AND ANNUITY                          </t>
  </si>
  <si>
    <t xml:space="preserve">P.O. BOX 34799                                    </t>
  </si>
  <si>
    <t xml:space="preserve">C22  </t>
  </si>
  <si>
    <t xml:space="preserve">BOSTON MUTUAL LIFE INSURANCE COMPANY              </t>
  </si>
  <si>
    <t xml:space="preserve">B86  </t>
  </si>
  <si>
    <t xml:space="preserve">PREFERRED ONE ADMINISTRATIVE SERVICES             </t>
  </si>
  <si>
    <t xml:space="preserve">P.O. BOX 59212                                    </t>
  </si>
  <si>
    <t xml:space="preserve">ASSOCIATION &amp; SOCIETY INS. CORP                   </t>
  </si>
  <si>
    <t xml:space="preserve">P.O. BOX 2510                                     </t>
  </si>
  <si>
    <t xml:space="preserve">AMERICAN TRAVELERS LIFE INSURANCE COMPANY         </t>
  </si>
  <si>
    <t xml:space="preserve">BEN SALEM                              </t>
  </si>
  <si>
    <t xml:space="preserve">PIEDMONT INS COMPANY                              </t>
  </si>
  <si>
    <t xml:space="preserve">P.O. BOX 979                                      </t>
  </si>
  <si>
    <t xml:space="preserve">MARION                                 </t>
  </si>
  <si>
    <t xml:space="preserve">ASSOCIATION BENEFIT PLAN (MEDICARE)               </t>
  </si>
  <si>
    <t xml:space="preserve">P.O. BOX 668587                                   </t>
  </si>
  <si>
    <t xml:space="preserve">COMMUNITY HEALTH PARTNERS                         </t>
  </si>
  <si>
    <t xml:space="preserve">P.O. BOX 5787                                     </t>
  </si>
  <si>
    <t xml:space="preserve">B29  </t>
  </si>
  <si>
    <t xml:space="preserve">PANAMERICAN BENEFIT SOLUTIONS                     </t>
  </si>
  <si>
    <t xml:space="preserve">P.O. BOX 619008                                   </t>
  </si>
  <si>
    <t xml:space="preserve">WAS US NOW INSURANCE GROUP                                                                                                                  </t>
  </si>
  <si>
    <t xml:space="preserve">B69  </t>
  </si>
  <si>
    <t xml:space="preserve">P.O. BOX 2348                                     </t>
  </si>
  <si>
    <t xml:space="preserve">THIS CODE NOT REQUESTED BY MEDICAID.  ASSIGNED BY SCHA.                                                                                     </t>
  </si>
  <si>
    <t xml:space="preserve">C45  </t>
  </si>
  <si>
    <t xml:space="preserve">TALL TREE ADMINISTRATORS                          </t>
  </si>
  <si>
    <t xml:space="preserve">P.O. BOX 71747                                    </t>
  </si>
  <si>
    <t xml:space="preserve">D48  </t>
  </si>
  <si>
    <t xml:space="preserve">AMERICAN CONTINENTAL INSURANCE CO                 </t>
  </si>
  <si>
    <t xml:space="preserve">P.O. BOX 2368                                     </t>
  </si>
  <si>
    <t xml:space="preserve">BENEFIT SUPPORT, INC.                             </t>
  </si>
  <si>
    <t xml:space="preserve">P.O. BOX 2977                                     </t>
  </si>
  <si>
    <t xml:space="preserve">GAINSVILLE                             </t>
  </si>
  <si>
    <t xml:space="preserve">C67  </t>
  </si>
  <si>
    <t xml:space="preserve">B68  </t>
  </si>
  <si>
    <t xml:space="preserve">UPMC HEALTH BENEFITS, INC                         </t>
  </si>
  <si>
    <t xml:space="preserve">P.O. BOX 2999                                     </t>
  </si>
  <si>
    <t xml:space="preserve">A04  </t>
  </si>
  <si>
    <t xml:space="preserve">CONSULTEC PRESCRIPTION BENEFITS MANAGEMENT        </t>
  </si>
  <si>
    <t xml:space="preserve">A83  </t>
  </si>
  <si>
    <t xml:space="preserve">GROUP RESOURCES INC                               </t>
  </si>
  <si>
    <t xml:space="preserve">P.O. BOX 100043                                   </t>
  </si>
  <si>
    <t xml:space="preserve">X2H  </t>
  </si>
  <si>
    <t xml:space="preserve">BLUE CROSS &amp; BLUE SHIELD OF UTICA-WATERTOWN, INC. </t>
  </si>
  <si>
    <t xml:space="preserve">UTICA                                  </t>
  </si>
  <si>
    <t xml:space="preserve">X2W  </t>
  </si>
  <si>
    <t xml:space="preserve">BLUE CROSS &amp; BLUE SHIELD OF ARIZONA, INC.         </t>
  </si>
  <si>
    <t xml:space="preserve">P O BOX 13466                                     </t>
  </si>
  <si>
    <t xml:space="preserve">TUCKER COMPANY &amp; ADMINISTRATORS                   </t>
  </si>
  <si>
    <t xml:space="preserve">KEY BENEFIT ADMINISTRATORS                        </t>
  </si>
  <si>
    <t xml:space="preserve">P .O. BOX 55230                                   </t>
  </si>
  <si>
    <t xml:space="preserve">CORE MANAGEMENT RESOURCES GROUP                   </t>
  </si>
  <si>
    <t xml:space="preserve">P.O. BOX 840                                      </t>
  </si>
  <si>
    <t xml:space="preserve">MACON                                  </t>
  </si>
  <si>
    <t xml:space="preserve">FIRST HEALTH WORKERS COMP ONLY                    </t>
  </si>
  <si>
    <t xml:space="preserve">P.O. BOX 23070                                    </t>
  </si>
  <si>
    <t xml:space="preserve">TUCSON                                 </t>
  </si>
  <si>
    <t xml:space="preserve">ONE HEALTH PLAN OF SC                             </t>
  </si>
  <si>
    <t xml:space="preserve">P.O. BOX 190019                                   </t>
  </si>
  <si>
    <t xml:space="preserve">N CHARLESTON                           </t>
  </si>
  <si>
    <t xml:space="preserve">TODAY'S OPTION                                    </t>
  </si>
  <si>
    <t xml:space="preserve">PO BOX 391883                                     </t>
  </si>
  <si>
    <t xml:space="preserve">CAMBRIDGE                              </t>
  </si>
  <si>
    <t xml:space="preserve">X0A  </t>
  </si>
  <si>
    <t xml:space="preserve">BLUE CROSS OF GEORGIA/COLUMBUS INC                </t>
  </si>
  <si>
    <t xml:space="preserve">P O BOX 9907                                      </t>
  </si>
  <si>
    <t xml:space="preserve">POLICIES SHOULD BE ADDED WITH XOB.  BCBS OF OF GA.                                                                                          </t>
  </si>
  <si>
    <t xml:space="preserve">A08  </t>
  </si>
  <si>
    <t>INDEPENDENCE AMERICAN INS. CO.(IHC HEALTH SOLUTION</t>
  </si>
  <si>
    <t xml:space="preserve">P O BOX 21456                                     </t>
  </si>
  <si>
    <t xml:space="preserve">EAGON                                  </t>
  </si>
  <si>
    <t xml:space="preserve">X25  </t>
  </si>
  <si>
    <t xml:space="preserve">B51  </t>
  </si>
  <si>
    <t xml:space="preserve">INNOVIANT                                         </t>
  </si>
  <si>
    <t xml:space="preserve">P.O. BOX 8082                                     </t>
  </si>
  <si>
    <t xml:space="preserve">P.O. BOX 5037                                     </t>
  </si>
  <si>
    <t xml:space="preserve">CHERRY HILL                            </t>
  </si>
  <si>
    <t xml:space="preserve">CONTEC                                            </t>
  </si>
  <si>
    <t xml:space="preserve">EMPLOYEE PLANS, INC.                              </t>
  </si>
  <si>
    <t xml:space="preserve">P.O. BOX 2362                                     </t>
  </si>
  <si>
    <t xml:space="preserve">FT WAYNE                               </t>
  </si>
  <si>
    <t xml:space="preserve">HEALTHCHOICE                                      </t>
  </si>
  <si>
    <t xml:space="preserve">P.O. BOX 24870                                    </t>
  </si>
  <si>
    <t xml:space="preserve">OKLAHOMA                               </t>
  </si>
  <si>
    <t xml:space="preserve">VETERANS ADMINISTRATION                           </t>
  </si>
  <si>
    <t xml:space="preserve">X1U  </t>
  </si>
  <si>
    <t xml:space="preserve">BLUE CROSS &amp; BLUE SHIELD OF NEBRASKA              </t>
  </si>
  <si>
    <t xml:space="preserve">P O BOX 3248, MAIN P.O. STATION                   </t>
  </si>
  <si>
    <t xml:space="preserve">MARION COUNTY                                     </t>
  </si>
  <si>
    <t xml:space="preserve">B72  </t>
  </si>
  <si>
    <t xml:space="preserve">INTEGRITY NATIONAL LIFE INS.                      </t>
  </si>
  <si>
    <t xml:space="preserve">P.O. BOX 32350                                    </t>
  </si>
  <si>
    <t xml:space="preserve">ITPE-NMU HEALTH AND WELFARE FUND                  </t>
  </si>
  <si>
    <t xml:space="preserve">POST OFFICE BOX 13817                             </t>
  </si>
  <si>
    <t xml:space="preserve">UNITED FOOD &amp; COMMERCIAL WORKERS (UFCW)           </t>
  </si>
  <si>
    <t xml:space="preserve">HOMELAND HEALTHCARE                               </t>
  </si>
  <si>
    <t xml:space="preserve">BLUE CROSS AND BLUE SHIELD OF SC                  </t>
  </si>
  <si>
    <t xml:space="preserve">P.O.BOX 100300                                    </t>
  </si>
  <si>
    <t xml:space="preserve">DO NOT USE FOR MEDICARE.THIS CODE IS ONLY USED FOR HEALTH RELATED   COVERAGE.      ST. ADDRESS 4101 PERVICAL RD. COLA 29219                 </t>
  </si>
  <si>
    <t xml:space="preserve">ALL AMERICAN LIFE INSURANCE CO.                   </t>
  </si>
  <si>
    <t xml:space="preserve">BENMARK, INC.                                     </t>
  </si>
  <si>
    <t xml:space="preserve">P.O. BOX 16767                                    </t>
  </si>
  <si>
    <t xml:space="preserve">MARSH(INSURANCE TRUST PLAN-DELTA RETIREES)        </t>
  </si>
  <si>
    <t xml:space="preserve">P.O. BOX 10432                                    </t>
  </si>
  <si>
    <t xml:space="preserve">HERITAGE                                          </t>
  </si>
  <si>
    <t xml:space="preserve">P.O. BOX 1730                                     </t>
  </si>
  <si>
    <t xml:space="preserve">AUBURNDALE                             </t>
  </si>
  <si>
    <t xml:space="preserve">AMERICAN GROUP ADMINISTRATORS                     </t>
  </si>
  <si>
    <t xml:space="preserve">C95  </t>
  </si>
  <si>
    <t xml:space="preserve">MIDWEST SECURITY                                  </t>
  </si>
  <si>
    <t xml:space="preserve">ONALASKA                               </t>
  </si>
  <si>
    <t xml:space="preserve">P.O.BOX 11111                                     </t>
  </si>
  <si>
    <t xml:space="preserve">FORT SCOTT                             </t>
  </si>
  <si>
    <t>X0KRS</t>
  </si>
  <si>
    <t xml:space="preserve">REGENCE BCBS OF OREGON                            </t>
  </si>
  <si>
    <t xml:space="preserve">SALEM OREGON                           </t>
  </si>
  <si>
    <t xml:space="preserve">RX PLAN ONLY MM CODE X0K                                                                                                                    </t>
  </si>
  <si>
    <t xml:space="preserve">A23  </t>
  </si>
  <si>
    <t xml:space="preserve">SERV U PRESCRIPTION                               </t>
  </si>
  <si>
    <t xml:space="preserve">PO BOX 23237                                      </t>
  </si>
  <si>
    <t xml:space="preserve">X1X  </t>
  </si>
  <si>
    <t xml:space="preserve">BLUE CROSS OF OHIO                                </t>
  </si>
  <si>
    <t xml:space="preserve">P O BOX 956                                       </t>
  </si>
  <si>
    <t xml:space="preserve">X0X  </t>
  </si>
  <si>
    <t xml:space="preserve">CENTRAL BENEFITS MUTUAL INSURANCE COMPANY         </t>
  </si>
  <si>
    <t xml:space="preserve">P O BOX 16526                                     </t>
  </si>
  <si>
    <t xml:space="preserve">C03  </t>
  </si>
  <si>
    <t xml:space="preserve">TOTAL PLAN SERVICES, INC.                         </t>
  </si>
  <si>
    <t xml:space="preserve">B84  </t>
  </si>
  <si>
    <t xml:space="preserve">HEALTH CARE CORPORATION                           </t>
  </si>
  <si>
    <t xml:space="preserve">CARY                                   </t>
  </si>
  <si>
    <t xml:space="preserve">HEALTH ADMINISTRATION SERVICES                    </t>
  </si>
  <si>
    <t xml:space="preserve">P.O. BOX 6724208                                  </t>
  </si>
  <si>
    <t xml:space="preserve">PRIORITY HEALTH                                   </t>
  </si>
  <si>
    <t xml:space="preserve">KAISER PERMANENTE                                 </t>
  </si>
  <si>
    <t xml:space="preserve">P.O. BOX 190849                                   </t>
  </si>
  <si>
    <t xml:space="preserve">ALTANTA                                </t>
  </si>
  <si>
    <t xml:space="preserve">C79  </t>
  </si>
  <si>
    <t xml:space="preserve">BENEFIT ADMINISTRATIVE SYSTEM, LTD                </t>
  </si>
  <si>
    <t xml:space="preserve">P.O. BOX 17475 JOVANNA DR. SUITE 1B               </t>
  </si>
  <si>
    <t xml:space="preserve">HOMEWOOD                               </t>
  </si>
  <si>
    <t xml:space="preserve">X0F  </t>
  </si>
  <si>
    <t xml:space="preserve">BLUE CROSS &amp; BLUE SHIELD OF VIRGINIA              </t>
  </si>
  <si>
    <t xml:space="preserve">P O BOX 27401                                     </t>
  </si>
  <si>
    <t xml:space="preserve">RICHMOND                               </t>
  </si>
  <si>
    <t xml:space="preserve">WELLNET HEALTHCARE                                </t>
  </si>
  <si>
    <t xml:space="preserve">SOUTH HAMPTON                          </t>
  </si>
  <si>
    <t xml:space="preserve">A14  </t>
  </si>
  <si>
    <t xml:space="preserve">EB RX                                             </t>
  </si>
  <si>
    <t xml:space="preserve">OCONEE COUNTY                                     </t>
  </si>
  <si>
    <t xml:space="preserve">THE PROVIDENT                                     </t>
  </si>
  <si>
    <t xml:space="preserve">P.O. BOX 31499                                    </t>
  </si>
  <si>
    <t xml:space="preserve">FIRST COMMUNITY HEALTH PLAN, INC.                 </t>
  </si>
  <si>
    <t xml:space="preserve">PO BOX 382947                                     </t>
  </si>
  <si>
    <t xml:space="preserve">C32  </t>
  </si>
  <si>
    <t xml:space="preserve">WELL FARGO INSURANCE                              </t>
  </si>
  <si>
    <t xml:space="preserve">P O BOX 2801                                      </t>
  </si>
  <si>
    <t xml:space="preserve">C69  </t>
  </si>
  <si>
    <t xml:space="preserve">AVESIS PHARMACY NETWORK                           </t>
  </si>
  <si>
    <t xml:space="preserve">MULTINATIONAL UNDERWRITERS                        </t>
  </si>
  <si>
    <t xml:space="preserve">P.O. BXO 863                                      </t>
  </si>
  <si>
    <t>X0SDN</t>
  </si>
  <si>
    <t xml:space="preserve">P O BOX 1311                                      </t>
  </si>
  <si>
    <t xml:space="preserve">UNICARE HEALTH AND LIFE INSURANCE                 </t>
  </si>
  <si>
    <t xml:space="preserve">POST OFFICE BOX 4059                              </t>
  </si>
  <si>
    <t xml:space="preserve">P.O. BOX 981602                                   </t>
  </si>
  <si>
    <t xml:space="preserve">DHHS INTERNAL RECOVERY CLAIMS BILLING MUST BE FAX TO: 414-224-0472                                                                          </t>
  </si>
  <si>
    <t xml:space="preserve">A22  </t>
  </si>
  <si>
    <t xml:space="preserve">PIEDMONT ADMINISTRATORS                           </t>
  </si>
  <si>
    <t xml:space="preserve">PO BOX 78030                                      </t>
  </si>
  <si>
    <t xml:space="preserve">X2E  </t>
  </si>
  <si>
    <t xml:space="preserve">X0U  </t>
  </si>
  <si>
    <t xml:space="preserve">BLUE CROSS &amp; BLUE SHIELD OF KENTUCKY INC          </t>
  </si>
  <si>
    <t xml:space="preserve">X0D  </t>
  </si>
  <si>
    <t xml:space="preserve">BLUE CROSS AND BLUE SHIELD OF FLORIDA             </t>
  </si>
  <si>
    <t xml:space="preserve">P O BOX 1798                                      </t>
  </si>
  <si>
    <t xml:space="preserve">X1D  </t>
  </si>
  <si>
    <t xml:space="preserve">BLUE CROSS /BLUE SHIELD OF NATIONAL CAPITAL AREA  </t>
  </si>
  <si>
    <t xml:space="preserve">B93  </t>
  </si>
  <si>
    <t xml:space="preserve">WESTERN STATES ADMINISTRATION                     </t>
  </si>
  <si>
    <t xml:space="preserve">LIFE INSURANCE COMPANY OF VIRGINIA, THE           </t>
  </si>
  <si>
    <t xml:space="preserve">P O BOX 27601                                     </t>
  </si>
  <si>
    <t xml:space="preserve">ADMINISTRATIVE SERVICE CONSULTANTS                </t>
  </si>
  <si>
    <t xml:space="preserve">BROADVIEW HEIGHTS                      </t>
  </si>
  <si>
    <t xml:space="preserve">B98  </t>
  </si>
  <si>
    <t xml:space="preserve">AMERICAN PIONEER LIFE INSURANCE COMPANY           </t>
  </si>
  <si>
    <t xml:space="preserve">P O BOX 130                                       </t>
  </si>
  <si>
    <t xml:space="preserve">PHARMACARE                                        </t>
  </si>
  <si>
    <t xml:space="preserve">P.O. BOX 52188                                    </t>
  </si>
  <si>
    <t xml:space="preserve">AS OF  1/1/08 CO. MERGED WITH CAREMARK (471)  ADD NEW POLICIES WITH 471                                                                     </t>
  </si>
  <si>
    <t xml:space="preserve">SOUTHERN GROUP ADMINISTRATORS, INC.               </t>
  </si>
  <si>
    <t xml:space="preserve">X2T  </t>
  </si>
  <si>
    <t xml:space="preserve">BLUE CROSS &amp; BLUE SHIELD OF OKLAHOMA              </t>
  </si>
  <si>
    <t xml:space="preserve">P O BOX 3283                                      </t>
  </si>
  <si>
    <t xml:space="preserve">COVENTRY HEALTH CARE                              </t>
  </si>
  <si>
    <t xml:space="preserve">P.O. BOX 8400                                     </t>
  </si>
  <si>
    <t xml:space="preserve">X1G  </t>
  </si>
  <si>
    <t xml:space="preserve">INDEPENDENCE BLUE CROSS                           </t>
  </si>
  <si>
    <t xml:space="preserve">PO BOX 69352                                      </t>
  </si>
  <si>
    <t xml:space="preserve">X0J  </t>
  </si>
  <si>
    <t xml:space="preserve">PENNSYLVANIA BLUE SHIELD                          </t>
  </si>
  <si>
    <t xml:space="preserve">P.O. BOX 890089                                   </t>
  </si>
  <si>
    <t xml:space="preserve">CAMP HILL                              </t>
  </si>
  <si>
    <t xml:space="preserve">CORPORATE BENEFIT SERVICES INC                    </t>
  </si>
  <si>
    <t xml:space="preserve">P.O. BOX 981800                                   </t>
  </si>
  <si>
    <t xml:space="preserve">B78  </t>
  </si>
  <si>
    <t xml:space="preserve">ARM GROUP (OMNICARE)                              </t>
  </si>
  <si>
    <t xml:space="preserve">BOILINGBROOK                           </t>
  </si>
  <si>
    <t xml:space="preserve">NATIONAL TRAVELERS LIFE INS. CO.                  </t>
  </si>
  <si>
    <t xml:space="preserve">P.O. BOX 9197                                     </t>
  </si>
  <si>
    <t xml:space="preserve">INACTIVE 8/02                                                                                                                               </t>
  </si>
  <si>
    <t xml:space="preserve">ACMG ADMINISTRATORS OF SOUTH CAROLINA             </t>
  </si>
  <si>
    <t xml:space="preserve">MIAMISBURG                             </t>
  </si>
  <si>
    <t xml:space="preserve">CENTRAL STATES HEALTH &amp; LIFE CO. OF OMAHA         </t>
  </si>
  <si>
    <t xml:space="preserve">POST OFFICE BOX 34350                             </t>
  </si>
  <si>
    <t xml:space="preserve">C83  </t>
  </si>
  <si>
    <t xml:space="preserve">FREEDOM LIFE INSURANCE CO. OF AMERICA             </t>
  </si>
  <si>
    <t xml:space="preserve">P O BOX 24294                                     </t>
  </si>
  <si>
    <t xml:space="preserve">B73  </t>
  </si>
  <si>
    <t xml:space="preserve">SOUTHERN CALIFORNIA PIPE TRADES TRUST FUND        </t>
  </si>
  <si>
    <t xml:space="preserve">UNI-CARE HEALTH AND LIFE INSURANCE CO             </t>
  </si>
  <si>
    <t xml:space="preserve">P.O. BOX 4458                                     </t>
  </si>
  <si>
    <t xml:space="preserve">WAS MASS MUTUAL                                                                                                                             </t>
  </si>
  <si>
    <t xml:space="preserve">BENEFITSOURCE, INC                                </t>
  </si>
  <si>
    <t xml:space="preserve">P.O. BOX 240                                      </t>
  </si>
  <si>
    <t xml:space="preserve">MONROE                                 </t>
  </si>
  <si>
    <t xml:space="preserve">CITY OF AMARILLO GROUP HEALTH                     </t>
  </si>
  <si>
    <t xml:space="preserve">P.O. BOX 15130                                    </t>
  </si>
  <si>
    <t xml:space="preserve">AMARILLO                               </t>
  </si>
  <si>
    <t xml:space="preserve">HUMANA HEALTH INSURANCE OF FLORIDA                </t>
  </si>
  <si>
    <t xml:space="preserve">P.O. BOX 19080-F                                  </t>
  </si>
  <si>
    <t xml:space="preserve">ALWAYSCARE BENEFITS INC                           </t>
  </si>
  <si>
    <t xml:space="preserve">P.O. BOX 80139                                    </t>
  </si>
  <si>
    <t xml:space="preserve">DENTAL PLAN                                                                                                                                 </t>
  </si>
  <si>
    <t xml:space="preserve">INTERNATIONAL MISSION BOARD (IMB)                 </t>
  </si>
  <si>
    <t xml:space="preserve">P.O. BOX 6767                                     </t>
  </si>
  <si>
    <t xml:space="preserve">VALUE OPTIONS                                     </t>
  </si>
  <si>
    <t xml:space="preserve">P.O. BOX 1347                                     </t>
  </si>
  <si>
    <t xml:space="preserve">LATHAM                                 </t>
  </si>
  <si>
    <t xml:space="preserve">B15  </t>
  </si>
  <si>
    <t xml:space="preserve">HILLCREST BENEFIT ADMINISTRATORS                  </t>
  </si>
  <si>
    <t xml:space="preserve">P.O. BOX 1516                                     </t>
  </si>
  <si>
    <t xml:space="preserve">MT. DORA                               </t>
  </si>
  <si>
    <t xml:space="preserve">D40  </t>
  </si>
  <si>
    <t xml:space="preserve">MINNESOTA POWER HEALTH PLANS                      </t>
  </si>
  <si>
    <t xml:space="preserve">D22  </t>
  </si>
  <si>
    <t xml:space="preserve">SMART VALUE (BC OF GA) (PFFS)                     </t>
  </si>
  <si>
    <t xml:space="preserve">P.O. BOX 3897                                     </t>
  </si>
  <si>
    <t xml:space="preserve">PRIVATE HEALTH CARE SYSTEMS  (PHCS)               </t>
  </si>
  <si>
    <t xml:space="preserve">P.O. BOX 2914                                     </t>
  </si>
  <si>
    <t xml:space="preserve">CODE ASSIGNED BY SCHA 6/18/07                                                                                                               </t>
  </si>
  <si>
    <t xml:space="preserve">STARBRIDGE                                        </t>
  </si>
  <si>
    <t xml:space="preserve">P.O. BOX 55270                                    </t>
  </si>
  <si>
    <t xml:space="preserve">X2M  </t>
  </si>
  <si>
    <t xml:space="preserve">BLUE CROSS OF WASHINGTON AND ALASKA               </t>
  </si>
  <si>
    <t xml:space="preserve">P O BOX 91059                                     </t>
  </si>
  <si>
    <t xml:space="preserve">INTERNATIONAL BROTHERHOOD OF ELECTRICAL WORKERS   </t>
  </si>
  <si>
    <t xml:space="preserve">SUN LIFE INSURANCE COMPANY OF CANADA              </t>
  </si>
  <si>
    <t xml:space="preserve">ONE SUN LIFE EXECUTIVE PARK                       </t>
  </si>
  <si>
    <t xml:space="preserve">WELLESLEY                              </t>
  </si>
  <si>
    <t xml:space="preserve">HORIZON HEALTHCARE                                </t>
  </si>
  <si>
    <t xml:space="preserve">P.O. BOX 1028                                     </t>
  </si>
  <si>
    <t xml:space="preserve">WEST TRENTON                           </t>
  </si>
  <si>
    <t xml:space="preserve">BOILERMAKERS NATIONAL HEALTH &amp; WELFARE FUND       </t>
  </si>
  <si>
    <t xml:space="preserve">AMERIHEALTH HMO, INC.                             </t>
  </si>
  <si>
    <t xml:space="preserve">P.O. BOX 41574                                    </t>
  </si>
  <si>
    <t xml:space="preserve">OUT-OF-STATE NC                                   </t>
  </si>
  <si>
    <t xml:space="preserve">SPARTANBURG COUNTY                                </t>
  </si>
  <si>
    <t xml:space="preserve">DESERET MUTUAL BENEFIT ADMINISTRATOR              </t>
  </si>
  <si>
    <t xml:space="preserve">P O BOX 45530                                     </t>
  </si>
  <si>
    <t xml:space="preserve">UNITEDHEALTH INTEGRATED SERVICES                  </t>
  </si>
  <si>
    <t xml:space="preserve">P.O. BOX 30783                                    </t>
  </si>
  <si>
    <t xml:space="preserve">ROCKY MOUNTAIN HEALTH PLAN (RMHP)                 </t>
  </si>
  <si>
    <t xml:space="preserve">P O BOX 4517                                      </t>
  </si>
  <si>
    <t xml:space="preserve">MEDICARE PART A                                   </t>
  </si>
  <si>
    <t xml:space="preserve">SMITHFIELD FOODS HEALTHCARE                       </t>
  </si>
  <si>
    <t xml:space="preserve">P.O. BOX 158                                      </t>
  </si>
  <si>
    <t xml:space="preserve">SMITHFIELD                             </t>
  </si>
  <si>
    <t xml:space="preserve">LIFE INSURANCE COMPANY OF GEORGIA                 </t>
  </si>
  <si>
    <t xml:space="preserve">POST OFFICE BOX 105006                            </t>
  </si>
  <si>
    <t xml:space="preserve">CODE NOT REQUESTED BY MEDICAID ASSIGNED BY SCHA                                                                                             </t>
  </si>
  <si>
    <t xml:space="preserve">JLT SERVICES (TPA FOR NY LIFE)                    </t>
  </si>
  <si>
    <t xml:space="preserve">P.O. BOX 1511                                     </t>
  </si>
  <si>
    <t xml:space="preserve">NOT REQUESTED BY MEDCAID.  ASSIGNED BY SCHA                                                                                                 </t>
  </si>
  <si>
    <t xml:space="preserve">HELLER ASSOCIATES                                 </t>
  </si>
  <si>
    <t xml:space="preserve">CHESTERLANDE                           </t>
  </si>
  <si>
    <t xml:space="preserve">CAROLINA MEDICARE PRIME HMO                       </t>
  </si>
  <si>
    <t xml:space="preserve">MEDICARE ADVANTAAGE PLAN                                                                                                                    </t>
  </si>
  <si>
    <t xml:space="preserve">BOB JONES UNIVERSITY                              </t>
  </si>
  <si>
    <t xml:space="preserve">TRANSAMERICA LIFE INSURANCE CO.                   </t>
  </si>
  <si>
    <t xml:space="preserve">P.O. BOX 97                                       </t>
  </si>
  <si>
    <t xml:space="preserve">ARGUS HEALTH SYSTEMS                              </t>
  </si>
  <si>
    <t xml:space="preserve">PO. BOX 419019                                    </t>
  </si>
  <si>
    <t xml:space="preserve">A07  </t>
  </si>
  <si>
    <t xml:space="preserve">CONTINENTAL LIFE INSURANCE CO. OF SOUTH CAROLINA  </t>
  </si>
  <si>
    <t xml:space="preserve">POST OFFICE BOX 6138                              </t>
  </si>
  <si>
    <t xml:space="preserve">ATLANTIC COAST LIFE INSURANCE COMPANY             </t>
  </si>
  <si>
    <t xml:space="preserve">PO BOX 20010                                      </t>
  </si>
  <si>
    <t xml:space="preserve">C80  </t>
  </si>
  <si>
    <t xml:space="preserve">ELDER HEALTH (MHN/HMC)                            </t>
  </si>
  <si>
    <t xml:space="preserve">P.O. BOX 4433                                     </t>
  </si>
  <si>
    <t xml:space="preserve">C47  </t>
  </si>
  <si>
    <t xml:space="preserve">B60  </t>
  </si>
  <si>
    <t xml:space="preserve">STATE MUTUAL LIFE ASSURANCE COMPANY OF AMERICA    </t>
  </si>
  <si>
    <t xml:space="preserve">DOWNERS GROVE                          </t>
  </si>
  <si>
    <t xml:space="preserve">B48  </t>
  </si>
  <si>
    <t xml:space="preserve">SELECT HEALTH                                     </t>
  </si>
  <si>
    <t xml:space="preserve">P.O. BOX 30192                                    </t>
  </si>
  <si>
    <t xml:space="preserve">LANCASTER COUNTY                                  </t>
  </si>
  <si>
    <t xml:space="preserve">C15  </t>
  </si>
  <si>
    <t xml:space="preserve">ADVANCE PCS                                       </t>
  </si>
  <si>
    <t xml:space="preserve">P.O.BOX 52188                                     </t>
  </si>
  <si>
    <t xml:space="preserve">SEE CARRIER 471                                                                                                                             </t>
  </si>
  <si>
    <t xml:space="preserve">ABBEVILLE COUNTY                                  </t>
  </si>
  <si>
    <t xml:space="preserve">TIME INSURANCE COMPANY                            </t>
  </si>
  <si>
    <t xml:space="preserve">USE 386 ASSURANT HEALTH                                                                                                                     </t>
  </si>
  <si>
    <t xml:space="preserve">C09  </t>
  </si>
  <si>
    <t xml:space="preserve">HEALTH PLAN ADMINISTRATORS                        </t>
  </si>
  <si>
    <t xml:space="preserve">P.O. BOX 2638                                     </t>
  </si>
  <si>
    <t xml:space="preserve">D27  </t>
  </si>
  <si>
    <t xml:space="preserve">SECURE HORIZONS PACIFICARE                        </t>
  </si>
  <si>
    <t xml:space="preserve">P.O. BOX 25032                                    </t>
  </si>
  <si>
    <t xml:space="preserve">SANTA ANA                              </t>
  </si>
  <si>
    <t xml:space="preserve">POST OFFICE BOX 188037                            </t>
  </si>
  <si>
    <t xml:space="preserve">WAS WAUSAU INS. CO.                                                                                                                         </t>
  </si>
  <si>
    <t xml:space="preserve">D10  </t>
  </si>
  <si>
    <t xml:space="preserve">SEVEN CORNERS INC                                 </t>
  </si>
  <si>
    <t>X0NDN</t>
  </si>
  <si>
    <t xml:space="preserve">P.O. BOX 660247                                   </t>
  </si>
  <si>
    <t xml:space="preserve">PEARCE ADMINISTRATION                             </t>
  </si>
  <si>
    <t xml:space="preserve">P.O. BOX 2437                                     </t>
  </si>
  <si>
    <t xml:space="preserve">GM SOUTHWEST IS THE CLAIMS PROCESSOR FOR PEARCE ADMINISTRATION                                                                              </t>
  </si>
  <si>
    <t xml:space="preserve">DEFINITY HEALTH                                   </t>
  </si>
  <si>
    <t xml:space="preserve">P.O. BOX 9525                                     </t>
  </si>
  <si>
    <t xml:space="preserve">BROUGHT OUT BY UNITED HEALTCARE CARRIER 113                                                                                                 </t>
  </si>
  <si>
    <t xml:space="preserve">PHARMACEUTICAL CARE NETWORK                       </t>
  </si>
  <si>
    <t xml:space="preserve">SACRAMENTO                             </t>
  </si>
  <si>
    <t xml:space="preserve">X0B  </t>
  </si>
  <si>
    <t xml:space="preserve">BLUE CROSS &amp; BLUE SHIELD OF GEORGIA/ATLANTA INC   </t>
  </si>
  <si>
    <t xml:space="preserve">DIVERSIFIED ADMINISTRATION CORPORATION            </t>
  </si>
  <si>
    <t xml:space="preserve">P.O. BOX 299                                      </t>
  </si>
  <si>
    <t xml:space="preserve">MARLBOROUGH                            </t>
  </si>
  <si>
    <t xml:space="preserve">B14  </t>
  </si>
  <si>
    <t xml:space="preserve">A.C.S. CONSULTING SERVICES, INC.                  </t>
  </si>
  <si>
    <t xml:space="preserve">P. O. BOX 2000                                    </t>
  </si>
  <si>
    <t xml:space="preserve">ZENITH ADMINISTRATION                             </t>
  </si>
  <si>
    <t xml:space="preserve">B37  </t>
  </si>
  <si>
    <t xml:space="preserve">POST OFFICE BOX 21308                             </t>
  </si>
  <si>
    <t xml:space="preserve">DAKOTACARE                                        </t>
  </si>
  <si>
    <t xml:space="preserve">PO BOX 740                                        </t>
  </si>
  <si>
    <t xml:space="preserve">C06  </t>
  </si>
  <si>
    <t xml:space="preserve">MISSIONARY MEDICAL                                </t>
  </si>
  <si>
    <t xml:space="preserve">P.O. BOX 45730                                    </t>
  </si>
  <si>
    <t xml:space="preserve">PAN-AMERICAN LIFE INSURANCE COMPANY               </t>
  </si>
  <si>
    <t xml:space="preserve">POST OFFICE BOX 60219                             </t>
  </si>
  <si>
    <t xml:space="preserve">MONARCH DIRECT                                    </t>
  </si>
  <si>
    <t xml:space="preserve">POST OFFICE BOX 9004                              </t>
  </si>
  <si>
    <t xml:space="preserve">P. O. BOX 2368                                    </t>
  </si>
  <si>
    <t xml:space="preserve">B99  </t>
  </si>
  <si>
    <t xml:space="preserve">GROUP &amp; PENSION ADMINISTRATORS, INC.              </t>
  </si>
  <si>
    <t xml:space="preserve">P.O. BOX 749075                                   </t>
  </si>
  <si>
    <t xml:space="preserve">FOUNTAINHEAD ADMINISTRATORS, INC.                 </t>
  </si>
  <si>
    <t xml:space="preserve">P O BOX 13188                                     </t>
  </si>
  <si>
    <t xml:space="preserve">NATIONAL AUTOMATIC SPRINKLER INDUSTRY             </t>
  </si>
  <si>
    <t xml:space="preserve">LANDOVER                               </t>
  </si>
  <si>
    <t xml:space="preserve">EDGEFIELD COUNTY                                  </t>
  </si>
  <si>
    <t xml:space="preserve">B53  </t>
  </si>
  <si>
    <t xml:space="preserve">NATIONAL FOUNDATION LIFE INSURANCE COMPANY        </t>
  </si>
  <si>
    <t xml:space="preserve">A89  </t>
  </si>
  <si>
    <t xml:space="preserve">SPECIAL INSURANCE SERVICES (SIS)                  </t>
  </si>
  <si>
    <t xml:space="preserve">P.O. BOX  250349                                  </t>
  </si>
  <si>
    <t xml:space="preserve">DIVERSIFIED PHARMACUETICAL                        </t>
  </si>
  <si>
    <t xml:space="preserve">P.O. BOX 169052                                   </t>
  </si>
  <si>
    <t xml:space="preserve">DELUTH                                 </t>
  </si>
  <si>
    <t xml:space="preserve">USE CODE 333 EXPRESS SCRIPTS                                                                                                                </t>
  </si>
  <si>
    <t xml:space="preserve">GREAT WEST HEALTHCARE                             </t>
  </si>
  <si>
    <t xml:space="preserve">C97  </t>
  </si>
  <si>
    <t xml:space="preserve">GEM GROUP                                         </t>
  </si>
  <si>
    <t xml:space="preserve">C77  </t>
  </si>
  <si>
    <t xml:space="preserve">CARPENTERS HOSPITALIZATION PLAN                   </t>
  </si>
  <si>
    <t>A30DN</t>
  </si>
  <si>
    <t xml:space="preserve">RMSCO, INC.                                       </t>
  </si>
  <si>
    <t xml:space="preserve">P.O. BOX 678                                      </t>
  </si>
  <si>
    <t xml:space="preserve">LIVERPOOL                              </t>
  </si>
  <si>
    <t xml:space="preserve">D44  </t>
  </si>
  <si>
    <t xml:space="preserve">INDEPENDENT HEALTH                                </t>
  </si>
  <si>
    <t xml:space="preserve">P.O. BOX 9066                                     </t>
  </si>
  <si>
    <t xml:space="preserve">BUFFALO                                </t>
  </si>
  <si>
    <t xml:space="preserve">D94  </t>
  </si>
  <si>
    <t xml:space="preserve">AMERIGROUP COMMUNITY CARE                         </t>
  </si>
  <si>
    <t xml:space="preserve">P.O. BOX 61010                                    </t>
  </si>
  <si>
    <t xml:space="preserve">VIRGINIA BEACH                         </t>
  </si>
  <si>
    <t xml:space="preserve">D62  </t>
  </si>
  <si>
    <t xml:space="preserve">SECURE HORIZONS DIRECT (UNITED HEALTHCARE)        </t>
  </si>
  <si>
    <t xml:space="preserve">P.O.BOX 31353                                     </t>
  </si>
  <si>
    <t xml:space="preserve">D67  </t>
  </si>
  <si>
    <t xml:space="preserve">BLUE CROSS OF FLORIDA HEALTH OPTIONS              </t>
  </si>
  <si>
    <t xml:space="preserve">P.O.BOX 1798                                      </t>
  </si>
  <si>
    <t xml:space="preserve">SCRIPT CARE, INC.                                 </t>
  </si>
  <si>
    <t xml:space="preserve">BEAUMONT                               </t>
  </si>
  <si>
    <t xml:space="preserve">CONTRACTORS EMPLOYEE BENEFIT ADM. (CEBA)          </t>
  </si>
  <si>
    <t xml:space="preserve">P.O. BOX 559017                                   </t>
  </si>
  <si>
    <t xml:space="preserve">DELTA DENTAL                                      </t>
  </si>
  <si>
    <t xml:space="preserve">PO BOX 1809                                       </t>
  </si>
  <si>
    <t xml:space="preserve">FIRST CONTINENTAL LIFE INSURANCE                  </t>
  </si>
  <si>
    <t xml:space="preserve">POST OFFICE BOX 1911                              </t>
  </si>
  <si>
    <t xml:space="preserve">UNION SECURITY INSURANCE CO                       </t>
  </si>
  <si>
    <t xml:space="preserve">P O BOX 981602                                    </t>
  </si>
  <si>
    <t xml:space="preserve">A58  </t>
  </si>
  <si>
    <t xml:space="preserve">COMPREHENSIVE BENEFITS                            </t>
  </si>
  <si>
    <t xml:space="preserve">P.O. BOX 8955                                     </t>
  </si>
  <si>
    <t xml:space="preserve">MELVILLE                               </t>
  </si>
  <si>
    <t xml:space="preserve">SUMMIT AMERICA INSURANCE SERVICES                 </t>
  </si>
  <si>
    <t xml:space="preserve">AMERICAN VETERINARIAN MEDICINE ASSN.              </t>
  </si>
  <si>
    <t xml:space="preserve">P.O. BOX 909720                                   </t>
  </si>
  <si>
    <t xml:space="preserve">C02  </t>
  </si>
  <si>
    <t xml:space="preserve">FOUNDATION BENEFITS ADMINISTRATORS                </t>
  </si>
  <si>
    <t xml:space="preserve">BENESIGHT                                         </t>
  </si>
  <si>
    <t xml:space="preserve">P.O. BOX 340                                      </t>
  </si>
  <si>
    <t xml:space="preserve">JASPER COUNTY                                     </t>
  </si>
  <si>
    <t xml:space="preserve">NEW MARKET DIMENSION                              </t>
  </si>
  <si>
    <t xml:space="preserve">P.O. BOX 1338                                     </t>
  </si>
  <si>
    <t xml:space="preserve">COCKEYVILLE                            </t>
  </si>
  <si>
    <t xml:space="preserve">M CARE                                            </t>
  </si>
  <si>
    <t xml:space="preserve">P.O. BOX 130799                                   </t>
  </si>
  <si>
    <t xml:space="preserve">ANN ARBOR                              </t>
  </si>
  <si>
    <t xml:space="preserve">B39  </t>
  </si>
  <si>
    <t xml:space="preserve">MEDICAL SAVINGS INSURANCE CO.                     </t>
  </si>
  <si>
    <t xml:space="preserve">WAL-MART STORES GROUP HEALTH PLAN                 </t>
  </si>
  <si>
    <t xml:space="preserve">ROGERS                                 </t>
  </si>
  <si>
    <t xml:space="preserve">USE CODE 401 BLUE CROSS BLUE SHIELD OF SC                                                                                                   </t>
  </si>
  <si>
    <t xml:space="preserve">STERLING INVESTORS LIFE INS. CO.                  </t>
  </si>
  <si>
    <t xml:space="preserve">P.O. BOX 10844                                    </t>
  </si>
  <si>
    <t xml:space="preserve">PYMARID LIFE INSURANCE CO.                        </t>
  </si>
  <si>
    <t xml:space="preserve">P.O. BOX 12922                                    </t>
  </si>
  <si>
    <t xml:space="preserve">CODE IN OPEN STATUS BY SCHA MEDICARE SUPPLEMENTAL PLAN G                                                                                    </t>
  </si>
  <si>
    <t xml:space="preserve">NEW ENGLAND FINANCIAL                             </t>
  </si>
  <si>
    <t xml:space="preserve">N. CHARLESTON                          </t>
  </si>
  <si>
    <t xml:space="preserve">USE CARRIER 859 NEW ENGLAND GROUP TRUST                                                                                                     </t>
  </si>
  <si>
    <t xml:space="preserve">A67  </t>
  </si>
  <si>
    <t xml:space="preserve">HEALTHSCOPE BENEFITS                              </t>
  </si>
  <si>
    <t xml:space="preserve">P.O.BOX 99005                                     </t>
  </si>
  <si>
    <t xml:space="preserve">B22  </t>
  </si>
  <si>
    <t xml:space="preserve">SOUTHERN HEALTH SERVICES                          </t>
  </si>
  <si>
    <t xml:space="preserve">P.O. BOX 7704                                     </t>
  </si>
  <si>
    <t xml:space="preserve">B35  </t>
  </si>
  <si>
    <t xml:space="preserve">PROCARE RX PBM                                    </t>
  </si>
  <si>
    <t xml:space="preserve">B58  </t>
  </si>
  <si>
    <t xml:space="preserve">AVMED HEALTH                                      </t>
  </si>
  <si>
    <t xml:space="preserve">P.O. BOX 569000                                   </t>
  </si>
  <si>
    <t xml:space="preserve">B82  </t>
  </si>
  <si>
    <t xml:space="preserve">AVANTE HEALTH                                     </t>
  </si>
  <si>
    <t>C11DN</t>
  </si>
  <si>
    <t xml:space="preserve">P O BOX 1317                                      </t>
  </si>
  <si>
    <t xml:space="preserve">P.O. BOX 188037                                   </t>
  </si>
  <si>
    <t xml:space="preserve">DESIGN SAVERS PLAN                                </t>
  </si>
  <si>
    <t xml:space="preserve">NATIONAL TEACHERS ASSO LIFE INSURANCE CO.         </t>
  </si>
  <si>
    <t xml:space="preserve">P.O. BOX 2369                                     </t>
  </si>
  <si>
    <t xml:space="preserve">ADDISON                                </t>
  </si>
  <si>
    <t xml:space="preserve">MEDIMPACT                                         </t>
  </si>
  <si>
    <t xml:space="preserve">SAN DIEGO                              </t>
  </si>
  <si>
    <t xml:space="preserve">CNIC HEALTH SOLUTIONS                             </t>
  </si>
  <si>
    <t xml:space="preserve">ANDERSON COUNTY                                   </t>
  </si>
  <si>
    <t xml:space="preserve">C13  </t>
  </si>
  <si>
    <t>CENTRAL RESERVE LIFE OF NORTH AMERICA INSURANCE CO</t>
  </si>
  <si>
    <t xml:space="preserve">STRONGSVILLE                           </t>
  </si>
  <si>
    <t xml:space="preserve">UNI-CARE CHOICE HEALTH BENEFITS                   </t>
  </si>
  <si>
    <t xml:space="preserve">P.O. BOX 51130                                    </t>
  </si>
  <si>
    <t xml:space="preserve">CIGNA FLEXCARE                                    </t>
  </si>
  <si>
    <t xml:space="preserve">P.O. BOX 30575                                    </t>
  </si>
  <si>
    <t xml:space="preserve">MARLBORO COUNTY                                   </t>
  </si>
  <si>
    <t xml:space="preserve">PACIFIC FIDELITY LIFE INSURANCE CO (P.F.L.)       </t>
  </si>
  <si>
    <t xml:space="preserve">P O BOX 982009                                    </t>
  </si>
  <si>
    <t xml:space="preserve">N RICHLAND HILLS                       </t>
  </si>
  <si>
    <t xml:space="preserve">USE CODE 477 MEGA LIFE                                                                                                                      </t>
  </si>
  <si>
    <t xml:space="preserve">BENEFIT ADMINISTRATIVE SERVICES                   </t>
  </si>
  <si>
    <t xml:space="preserve">P.O. BOX 4509                                     </t>
  </si>
  <si>
    <t xml:space="preserve">INTER VALLEY HEALTH PLAN                          </t>
  </si>
  <si>
    <t xml:space="preserve">POMONA                                 </t>
  </si>
  <si>
    <t xml:space="preserve">PRE-EXISTING CONDITION INSURANCE PLAN (PCIP)      </t>
  </si>
  <si>
    <t xml:space="preserve">P.O. BOX 300                                      </t>
  </si>
  <si>
    <t xml:space="preserve">INDEPENDENCE                           </t>
  </si>
  <si>
    <t xml:space="preserve">CODE ASSIGBED BY SCHA                                                                                                                       </t>
  </si>
  <si>
    <t xml:space="preserve">C57  </t>
  </si>
  <si>
    <t xml:space="preserve">WORLD TRAVEL PROTECTION                           </t>
  </si>
  <si>
    <t xml:space="preserve">NIAGARA FALLS                          </t>
  </si>
  <si>
    <t xml:space="preserve">THIS CODE NOT REQUESTED BY MEDCAID.  ASSIGNED BY SCHA                                                                                       </t>
  </si>
  <si>
    <t xml:space="preserve">A11  </t>
  </si>
  <si>
    <t xml:space="preserve">PREFERRED ADMINISTRATORS                          </t>
  </si>
  <si>
    <t xml:space="preserve">P.O. BOX 18263                                    </t>
  </si>
  <si>
    <t xml:space="preserve">GEISINGER HEALTH PLAN GOLD                        </t>
  </si>
  <si>
    <t xml:space="preserve">P.O. BOX 8200                                     </t>
  </si>
  <si>
    <t xml:space="preserve">DANVILLE                               </t>
  </si>
  <si>
    <t xml:space="preserve">A30  </t>
  </si>
  <si>
    <t xml:space="preserve">B06  </t>
  </si>
  <si>
    <t xml:space="preserve">SOUTHCARE HEALTHCARE PREFERRED                    </t>
  </si>
  <si>
    <t xml:space="preserve">UNION COUNTY                                      </t>
  </si>
  <si>
    <t xml:space="preserve">VOCATIONAL REHAB DISABILITY                       </t>
  </si>
  <si>
    <t xml:space="preserve">BAKERY &amp; CONFECTIONERY UNION                      </t>
  </si>
  <si>
    <t xml:space="preserve">KENSINGTON                             </t>
  </si>
  <si>
    <t xml:space="preserve">BEAUFORT COUNTY                                   </t>
  </si>
  <si>
    <t xml:space="preserve">LINCOLN HERITAGE LIFE INSURANCE CO                </t>
  </si>
  <si>
    <t xml:space="preserve">P.O. BOX 10843                                    </t>
  </si>
  <si>
    <t xml:space="preserve">A62  </t>
  </si>
  <si>
    <t xml:space="preserve">AMERICAN MEDICAL AND LIFE INSURANCE (AMLI)        </t>
  </si>
  <si>
    <t xml:space="preserve">P.O. BOX 1353                                     </t>
  </si>
  <si>
    <t xml:space="preserve">A37  </t>
  </si>
  <si>
    <t xml:space="preserve">UNITED BEHAVIORAL/DENTAL SYSTEMS                  </t>
  </si>
  <si>
    <t xml:space="preserve">PO BOX 30755                                      </t>
  </si>
  <si>
    <t xml:space="preserve">AMERICAN PROGRESSIVE INSURANCE                    </t>
  </si>
  <si>
    <t xml:space="preserve">CLAIMSWARE MANAGEMED                              </t>
  </si>
  <si>
    <t xml:space="preserve">P.O. BOX 6125                                     </t>
  </si>
  <si>
    <t xml:space="preserve">A71  </t>
  </si>
  <si>
    <t xml:space="preserve">CAROLINA BEHAVIORAL HEALTH ALLIANCE               </t>
  </si>
  <si>
    <t xml:space="preserve">P.O. BOX 571137                                   </t>
  </si>
  <si>
    <t xml:space="preserve">D08  </t>
  </si>
  <si>
    <t xml:space="preserve">BIG LOTS ASSOCIATE BENEFIT PLAN                   </t>
  </si>
  <si>
    <t xml:space="preserve">P.O. BOX 9071                                     </t>
  </si>
  <si>
    <t xml:space="preserve">DUBLIN                                 </t>
  </si>
  <si>
    <t xml:space="preserve">X3B  </t>
  </si>
  <si>
    <t xml:space="preserve">TPA EXCHANGE                                      </t>
  </si>
  <si>
    <t xml:space="preserve">P.O. BOX 4363                                     </t>
  </si>
  <si>
    <t xml:space="preserve">ST AUGUSTINE                           </t>
  </si>
  <si>
    <t xml:space="preserve">CAMBRIDGE INTERGRATED SERVICES GROUP INC.         </t>
  </si>
  <si>
    <t xml:space="preserve">P.O. BOX 1687                                     </t>
  </si>
  <si>
    <t xml:space="preserve">USE CARRIER 171 AON                                                                                                                         </t>
  </si>
  <si>
    <t xml:space="preserve">DHEC CANCER                                       </t>
  </si>
  <si>
    <t xml:space="preserve">MOLINA MEDICARE OPTIONS PLUS                      </t>
  </si>
  <si>
    <t xml:space="preserve">P O BOX 22811                                     </t>
  </si>
  <si>
    <t xml:space="preserve">LONG BEACH                             </t>
  </si>
  <si>
    <t xml:space="preserve">SHAW INDUSTRIES                                   </t>
  </si>
  <si>
    <t xml:space="preserve">DALTON                                 </t>
  </si>
  <si>
    <t xml:space="preserve">X0R  </t>
  </si>
  <si>
    <t xml:space="preserve">MEDICAL MUTUAL OF OHIO                            </t>
  </si>
  <si>
    <t xml:space="preserve">QUAL CARE                                         </t>
  </si>
  <si>
    <t xml:space="preserve">P.O. BOX 249                                      </t>
  </si>
  <si>
    <t xml:space="preserve">PISCATHAWAY                            </t>
  </si>
  <si>
    <t xml:space="preserve">AMERICAN SENTINEL                                 </t>
  </si>
  <si>
    <t xml:space="preserve">P.O. BOX 61140                                    </t>
  </si>
  <si>
    <t xml:space="preserve">INTERNATIONAL CLAIMS SERVICES                     </t>
  </si>
  <si>
    <t xml:space="preserve">FOOTHILL RANCH                         </t>
  </si>
  <si>
    <t xml:space="preserve">ASSIGNED BY SCHA                                                                                                                            </t>
  </si>
  <si>
    <t xml:space="preserve">B23  </t>
  </si>
  <si>
    <t xml:space="preserve">LINCOLN FINANCIAL GROUP                           </t>
  </si>
  <si>
    <t xml:space="preserve">P.O. BOX 614008                                   </t>
  </si>
  <si>
    <t xml:space="preserve">AETNA HEALTH PLANS OF THE CAROLINAS INC           </t>
  </si>
  <si>
    <t xml:space="preserve">HMO PLAN ONLY                                                                                                                               </t>
  </si>
  <si>
    <t xml:space="preserve">CORESOURCE                                        </t>
  </si>
  <si>
    <t xml:space="preserve">P.O. BOX 2920                                     </t>
  </si>
  <si>
    <t xml:space="preserve">C78  </t>
  </si>
  <si>
    <t xml:space="preserve">CHEROKEE COUNTY                                   </t>
  </si>
  <si>
    <t xml:space="preserve">FIRST ADMINISTRATORS, INC.                        </t>
  </si>
  <si>
    <t xml:space="preserve">P O BOX 9900                                      </t>
  </si>
  <si>
    <t xml:space="preserve">C12  </t>
  </si>
  <si>
    <t xml:space="preserve">BENICOMP, INC..                                   </t>
  </si>
  <si>
    <t xml:space="preserve">AMERIHEALTH ADMINISTRATORS                        </t>
  </si>
  <si>
    <t xml:space="preserve">HORSHAM                                </t>
  </si>
  <si>
    <t xml:space="preserve">HERTZ CLAIM MANAGEMENT                            </t>
  </si>
  <si>
    <t xml:space="preserve">P.O BOX 726                                       </t>
  </si>
  <si>
    <t xml:space="preserve">WPS TRICARE FOR LIFE                              </t>
  </si>
  <si>
    <t xml:space="preserve">P.O. BOX 7889                                     </t>
  </si>
  <si>
    <t xml:space="preserve">D14  </t>
  </si>
  <si>
    <t xml:space="preserve">MEDICARE PLUS BLUE (BCBS OF MICHIGAN)             </t>
  </si>
  <si>
    <t xml:space="preserve">SOUTHFIELD                             </t>
  </si>
  <si>
    <t xml:space="preserve">D13  </t>
  </si>
  <si>
    <t xml:space="preserve">ARCADIAN                                          </t>
  </si>
  <si>
    <t xml:space="preserve">CODE ORIGINALLY ASSIGNED AS MA IN ERROR USE CODE 816 FOR MA PLAN                                                                            </t>
  </si>
  <si>
    <t xml:space="preserve">PENNSYLVANIA LIFE INSURANCE COMPANY               </t>
  </si>
  <si>
    <t xml:space="preserve">A55  </t>
  </si>
  <si>
    <t xml:space="preserve">AETNA LIFE AND CASUALTY                           </t>
  </si>
  <si>
    <t xml:space="preserve">P.O. BOX 36890                                    </t>
  </si>
  <si>
    <t xml:space="preserve">P.O. BOX 182223                                   </t>
  </si>
  <si>
    <t xml:space="preserve">AMERICAN REPUBLIC INSURANCE COMPANY               </t>
  </si>
  <si>
    <t xml:space="preserve">P O BOX 21670                                     </t>
  </si>
  <si>
    <t xml:space="preserve">EAGAN                                  </t>
  </si>
  <si>
    <t xml:space="preserve">HEALTH NEW ENGLAND                                </t>
  </si>
  <si>
    <t xml:space="preserve">ONE MONARCH PLACE,STE 1500                        </t>
  </si>
  <si>
    <t xml:space="preserve">HAMPTON COUNTY                                    </t>
  </si>
  <si>
    <t xml:space="preserve">CAPITOL LIFE INSURANCE COMPANY                    </t>
  </si>
  <si>
    <t xml:space="preserve">P.O. BXO 1200                                     </t>
  </si>
  <si>
    <t xml:space="preserve">PER HOSP. ASSO. 07/02, THIS IS STILL A VALID CARRIER                                                                                        </t>
  </si>
  <si>
    <t xml:space="preserve">SALUDA COUNTY                                     </t>
  </si>
  <si>
    <t xml:space="preserve">ORANGEBURG COUNTY                                 </t>
  </si>
  <si>
    <t xml:space="preserve">B25  </t>
  </si>
  <si>
    <t xml:space="preserve">HEALTH AND WELFARE FUND LOCAL 218                 </t>
  </si>
  <si>
    <t xml:space="preserve">POST OFFICE BOX 115027                            </t>
  </si>
  <si>
    <t xml:space="preserve">ACTIVA HEALTH GROUP                               </t>
  </si>
  <si>
    <t xml:space="preserve">UNITED HEALTHCARE                                 </t>
  </si>
  <si>
    <t xml:space="preserve">PO BOX 740800                                     </t>
  </si>
  <si>
    <t xml:space="preserve">DAVIS-GARVIN AGENCY                               </t>
  </si>
  <si>
    <t xml:space="preserve">#1 FERNANDINA COURT                               </t>
  </si>
  <si>
    <t xml:space="preserve">USA HEALTHCARE ORGANIZATION                       </t>
  </si>
  <si>
    <t xml:space="preserve">B33  </t>
  </si>
  <si>
    <t xml:space="preserve">PHARMAVAIL DRUG COMPANY                           </t>
  </si>
  <si>
    <t xml:space="preserve">WOODSTOCK                              </t>
  </si>
  <si>
    <t xml:space="preserve">NATIONWIDE LIFE INSURANCE COMPANY                 </t>
  </si>
  <si>
    <t xml:space="preserve">POST OFFICE BOX 182202                            </t>
  </si>
  <si>
    <t xml:space="preserve">C27  </t>
  </si>
  <si>
    <t xml:space="preserve">SELECT  BENEFIT ADMINISTRATORS                    </t>
  </si>
  <si>
    <t xml:space="preserve">A90  </t>
  </si>
  <si>
    <t xml:space="preserve">EMPLOYEE BENEFIT CLAIMS INC                       </t>
  </si>
  <si>
    <t xml:space="preserve">ROSEMONT                               </t>
  </si>
  <si>
    <t xml:space="preserve">LIBERTY NATIONAL LIFE INSURANCE COMPANY           </t>
  </si>
  <si>
    <t xml:space="preserve">POST OFFICE BOX 2612                              </t>
  </si>
  <si>
    <t xml:space="preserve">NATIONAL ELEVATOR INDUSTRY HEALTH BENEFITS        </t>
  </si>
  <si>
    <t xml:space="preserve">PO BOX 477                                        </t>
  </si>
  <si>
    <t xml:space="preserve">NEWTOWN SQUARE                         </t>
  </si>
  <si>
    <t xml:space="preserve">GROUP ADMINISTRATORS,LTD.                         </t>
  </si>
  <si>
    <t xml:space="preserve">SCHAUMBURG                             </t>
  </si>
  <si>
    <t xml:space="preserve">AMERICAN NATIONAL INSURANCE COMPANY               </t>
  </si>
  <si>
    <t xml:space="preserve">P O BOX 1790                                      </t>
  </si>
  <si>
    <t xml:space="preserve">GALVESTON                              </t>
  </si>
  <si>
    <t xml:space="preserve">AMERICAN INCOME LIFE INSURANCE COMPANY            </t>
  </si>
  <si>
    <t xml:space="preserve">POST OFFICE BOX 2608                              </t>
  </si>
  <si>
    <t xml:space="preserve">WACO                                   </t>
  </si>
  <si>
    <t xml:space="preserve">A96  </t>
  </si>
  <si>
    <t xml:space="preserve">HAMRICKS INC                                      </t>
  </si>
  <si>
    <t xml:space="preserve">GAFFNEY                                </t>
  </si>
  <si>
    <t xml:space="preserve">CONSECO MEDICAL INSURANCE CO.                     </t>
  </si>
  <si>
    <t xml:space="preserve">P.O. BOX 1205                                     </t>
  </si>
  <si>
    <t xml:space="preserve">ROCKFORD                               </t>
  </si>
  <si>
    <t xml:space="preserve">USE CODE 282 WASHINGTON NATIONAL                                                                                                            </t>
  </si>
  <si>
    <t xml:space="preserve">PROVIDENT/CAREMARK                                </t>
  </si>
  <si>
    <t xml:space="preserve">P.O. BOX 686005                                   </t>
  </si>
  <si>
    <t xml:space="preserve">USE CODE 280 CAREMARK                                                                                                                       </t>
  </si>
  <si>
    <t xml:space="preserve">A54  </t>
  </si>
  <si>
    <t xml:space="preserve">CENTURY HEALTHCARE                                </t>
  </si>
  <si>
    <t xml:space="preserve">P.O. BOX 2256                                     </t>
  </si>
  <si>
    <t xml:space="preserve">GRAPEVINE                              </t>
  </si>
  <si>
    <t xml:space="preserve">NEIC 30018                                                                                                                                  </t>
  </si>
  <si>
    <t xml:space="preserve">B30  </t>
  </si>
  <si>
    <t xml:space="preserve">SOUTHERN BENEFITS, SOUTHEASTERN PIPE TRADERS      </t>
  </si>
  <si>
    <t xml:space="preserve">P.O. BOX 1449                                     </t>
  </si>
  <si>
    <t xml:space="preserve">GOODLETTSVILLE                         </t>
  </si>
  <si>
    <t xml:space="preserve">C08  </t>
  </si>
  <si>
    <t xml:space="preserve">MEDICAL DEVELOPMENT INTERNATION                   </t>
  </si>
  <si>
    <t xml:space="preserve">LANSTOWNE                              </t>
  </si>
  <si>
    <t>X0CDN</t>
  </si>
  <si>
    <t xml:space="preserve">BLUE CROSS &amp; BLUE SHIELD OF NORTH CAROLINA        </t>
  </si>
  <si>
    <t xml:space="preserve">P O BOX 2100                                      </t>
  </si>
  <si>
    <t xml:space="preserve">WINSTON SALEM                          </t>
  </si>
  <si>
    <t xml:space="preserve">NATIONAL BENEFIT ADMINISTRATORS                   </t>
  </si>
  <si>
    <t xml:space="preserve">P.O. BOX 690903                                   </t>
  </si>
  <si>
    <t>X0MDN</t>
  </si>
  <si>
    <t xml:space="preserve">BCBS OF MASSACHUSETTS                             </t>
  </si>
  <si>
    <t xml:space="preserve">P.O. BOX 986005                                   </t>
  </si>
  <si>
    <t xml:space="preserve">BOSTON                                 </t>
  </si>
  <si>
    <t xml:space="preserve">DENTAL ONLY                                                                                                                                 </t>
  </si>
  <si>
    <t xml:space="preserve">D20  </t>
  </si>
  <si>
    <t xml:space="preserve">EXCELLUS MEDICARE BLUE CHOICE OPTIMUM             </t>
  </si>
  <si>
    <t xml:space="preserve">P.O. BOX 41915                                    </t>
  </si>
  <si>
    <t xml:space="preserve">AMALGAMATED LIFE INSURANCE                        </t>
  </si>
  <si>
    <t xml:space="preserve">P.O. BOX 1451                                     </t>
  </si>
  <si>
    <t xml:space="preserve">C53  </t>
  </si>
  <si>
    <t xml:space="preserve">PHYSICIANS HEALTH PLAN OF MID MICHIGAN            </t>
  </si>
  <si>
    <t xml:space="preserve">P.O. BOX 247                                      </t>
  </si>
  <si>
    <t xml:space="preserve">ALPHARETTA                             </t>
  </si>
  <si>
    <t xml:space="preserve">UNITED CONCORDIA                                  </t>
  </si>
  <si>
    <t xml:space="preserve">P.O. BOX 69421                                    </t>
  </si>
  <si>
    <t xml:space="preserve">A38  </t>
  </si>
  <si>
    <t xml:space="preserve">UNITED HEALTHCARE OF NC                           </t>
  </si>
  <si>
    <t xml:space="preserve">PO BOX 2604                                       </t>
  </si>
  <si>
    <t xml:space="preserve">GREENSBORO                             </t>
  </si>
  <si>
    <t xml:space="preserve">COORDINATED BENEFIT PLANS INC.                    </t>
  </si>
  <si>
    <t xml:space="preserve">P O BOX 853925                                    </t>
  </si>
  <si>
    <t xml:space="preserve">RICHARDSON                             </t>
  </si>
  <si>
    <t xml:space="preserve">STATE EMPLOYEES HEALTH PLAN BLUE CROSS            </t>
  </si>
  <si>
    <t xml:space="preserve">CLAIMS SHOULD BE SENT TO THE ATTN OF SARAH TOWNES AX-B10                                                                                    </t>
  </si>
  <si>
    <t xml:space="preserve">INTEGRITY BENEFITS NETWORK                        </t>
  </si>
  <si>
    <t xml:space="preserve">PO BOX 4537                                       </t>
  </si>
  <si>
    <t xml:space="preserve">PHARMACY NETWORK NATIONAL OF N.C.                 </t>
  </si>
  <si>
    <t xml:space="preserve">RALEIGH                                </t>
  </si>
  <si>
    <t xml:space="preserve">SEE CARRIER 366 CATALYST RX                                                                                                                 </t>
  </si>
  <si>
    <t xml:space="preserve">BOON CHAPMAN BENEFIT ADMINISTRATORS               </t>
  </si>
  <si>
    <t xml:space="preserve">P.O. BOX 9201                                     </t>
  </si>
  <si>
    <t xml:space="preserve">C29  </t>
  </si>
  <si>
    <t xml:space="preserve">TRUE CHOICE USA                                   </t>
  </si>
  <si>
    <t xml:space="preserve">P.O. BOX 251369                                   </t>
  </si>
  <si>
    <t xml:space="preserve">PLANO                                  </t>
  </si>
  <si>
    <t xml:space="preserve">THIS CODE NOT REQUESTED BY MEDCAID. ASSIGNED BY SCHA                                                                                        </t>
  </si>
  <si>
    <t xml:space="preserve">COMMUNITY HEALTH PLAN                             </t>
  </si>
  <si>
    <t xml:space="preserve">P.O. BOX 14467                                    </t>
  </si>
  <si>
    <t xml:space="preserve">NATIONAL RURAL LETTER CARRIERS ASSOCIATION        </t>
  </si>
  <si>
    <t xml:space="preserve">METROPOLITAN LIFE INSURANCE COMPANY               </t>
  </si>
  <si>
    <t xml:space="preserve">P.O. BOX 981282                                   </t>
  </si>
  <si>
    <t xml:space="preserve">GUARDIAN HEALTHCARE                               </t>
  </si>
  <si>
    <t xml:space="preserve">P.O. BOX 4197                                     </t>
  </si>
  <si>
    <t xml:space="preserve">SCRANTON                               </t>
  </si>
  <si>
    <t xml:space="preserve">SOUTHERN ELEC. HEALTH FUND                        </t>
  </si>
  <si>
    <t xml:space="preserve">AMERICAN POSTAL WORKERS UNION HEALTH PLAN         </t>
  </si>
  <si>
    <t xml:space="preserve">POST OFFICE BOX 188004                            </t>
  </si>
  <si>
    <t xml:space="preserve">UNITED  SERVICE ASSO. FOR HEALTHCARE              </t>
  </si>
  <si>
    <t xml:space="preserve">P.O. BOX 6080-288                                 </t>
  </si>
  <si>
    <t xml:space="preserve">MISSION VAIEJO                         </t>
  </si>
  <si>
    <t xml:space="preserve">ASSOCIATED ADMINISTRATORS                         </t>
  </si>
  <si>
    <t xml:space="preserve">P.O. BOX 27806                                    </t>
  </si>
  <si>
    <t xml:space="preserve">AMERICORP INS. CO                                 </t>
  </si>
  <si>
    <t xml:space="preserve">P.O. BOX 3430                                     </t>
  </si>
  <si>
    <t xml:space="preserve">CARMEL                                 </t>
  </si>
  <si>
    <t xml:space="preserve">D36  </t>
  </si>
  <si>
    <t xml:space="preserve">HOP/PSERS HEALTH  ADMINISTRATION UNIT             </t>
  </si>
  <si>
    <t xml:space="preserve">P.O. BOX 2921                                     </t>
  </si>
  <si>
    <t xml:space="preserve">CODE NOT REQUESTED BY MEDICAID. ASSIGNED BY SCHA                                                                                            </t>
  </si>
  <si>
    <t>B44DN</t>
  </si>
  <si>
    <t xml:space="preserve">AMERICAN CHOICE HEALTH PLAN, LLC                  </t>
  </si>
  <si>
    <t xml:space="preserve">P.O.BOX 922009                                    </t>
  </si>
  <si>
    <t xml:space="preserve">CORESOURCE INC                                    </t>
  </si>
  <si>
    <t xml:space="preserve">UNITED MINE WORKERS HEALTH &amp; RETIREMENT FUND      </t>
  </si>
  <si>
    <t xml:space="preserve">ROUTE 2 BOX 218A                                  </t>
  </si>
  <si>
    <t xml:space="preserve">BIG STONE GAP                          </t>
  </si>
  <si>
    <t xml:space="preserve">HEALTH SERVICES FOUNDATION                        </t>
  </si>
  <si>
    <t xml:space="preserve">P O BOX 2109                                      </t>
  </si>
  <si>
    <t xml:space="preserve">LIVERMORE                              </t>
  </si>
  <si>
    <t xml:space="preserve">WELLPATH SELECT                                   </t>
  </si>
  <si>
    <t xml:space="preserve">P O BOX 7102                                      </t>
  </si>
  <si>
    <t xml:space="preserve">WELLPATH SELECT IS A PLAN UNDER THE PARENT CO. COVENTRY HEALTH CARE                                                                         </t>
  </si>
  <si>
    <t xml:space="preserve">P O BOX 10821                                     </t>
  </si>
  <si>
    <t xml:space="preserve">MEDICAL MUTUAL                                    </t>
  </si>
  <si>
    <t xml:space="preserve">P.O.BOX 6018                                      </t>
  </si>
  <si>
    <t xml:space="preserve">COMPANION LIFE                                    </t>
  </si>
  <si>
    <t xml:space="preserve">P.O. BOX 100102                                   </t>
  </si>
  <si>
    <t xml:space="preserve">SELF INSURERS SERVICE INC.                        </t>
  </si>
  <si>
    <t xml:space="preserve">TEMPE                                  </t>
  </si>
  <si>
    <t xml:space="preserve">LIBERTY MUTUAL LIFE INSURANCE                     </t>
  </si>
  <si>
    <t xml:space="preserve">DANVERS                                </t>
  </si>
  <si>
    <t xml:space="preserve">A12  </t>
  </si>
  <si>
    <t xml:space="preserve">PRIMEXTRA                                         </t>
  </si>
  <si>
    <t xml:space="preserve">P.O. BOX 1088                                     </t>
  </si>
  <si>
    <t xml:space="preserve">ODS HEALTH PLAN ADVANTAGE                         </t>
  </si>
  <si>
    <t xml:space="preserve">P.O. BOX 4030                                     </t>
  </si>
  <si>
    <t xml:space="preserve">PORTLAND                               </t>
  </si>
  <si>
    <t>OR</t>
  </si>
  <si>
    <t xml:space="preserve">B17  </t>
  </si>
  <si>
    <t xml:space="preserve">ULTRA BENEFITS                                    </t>
  </si>
  <si>
    <t xml:space="preserve">P.O. BOX 763                                      </t>
  </si>
  <si>
    <t xml:space="preserve">WESTBORO                               </t>
  </si>
  <si>
    <t xml:space="preserve">B97  </t>
  </si>
  <si>
    <t xml:space="preserve">NIPPON LIFE INSURANCE CO.                         </t>
  </si>
  <si>
    <t xml:space="preserve">P.O. BOX 25951                                    </t>
  </si>
  <si>
    <t xml:space="preserve">D38  </t>
  </si>
  <si>
    <t xml:space="preserve">AMERICAN INSURANCE ADMINISTRATORS                 </t>
  </si>
  <si>
    <t xml:space="preserve">P O BOX 2348                                      </t>
  </si>
  <si>
    <t>B37DN</t>
  </si>
  <si>
    <t xml:space="preserve">BENEFIT ADMINISTRATORS                            </t>
  </si>
  <si>
    <t xml:space="preserve">POST OFFICE BOX 1957                              </t>
  </si>
  <si>
    <t xml:space="preserve">BEATTYVILLE                            </t>
  </si>
  <si>
    <t xml:space="preserve">D34  </t>
  </si>
  <si>
    <t xml:space="preserve">UNIVERSAL HEALTH CARE                             </t>
  </si>
  <si>
    <t xml:space="preserve">P.O. BOX 3211                                     </t>
  </si>
  <si>
    <t xml:space="preserve">ST PETERSBURG                          </t>
  </si>
  <si>
    <t xml:space="preserve">D61  </t>
  </si>
  <si>
    <t xml:space="preserve">AMERICA'S 1ST CHOICE                              </t>
  </si>
  <si>
    <t xml:space="preserve">P.O. BOX 210769                                   </t>
  </si>
  <si>
    <t xml:space="preserve">D64  </t>
  </si>
  <si>
    <t xml:space="preserve">EMPIRE HEALTHCHOICE ASSURANCE, INC.               </t>
  </si>
  <si>
    <t xml:space="preserve">P.O.BOX 100300 CLAIMS PROCESSING                  </t>
  </si>
  <si>
    <t xml:space="preserve">COMPBENEFITS INSURANCE CO.                        </t>
  </si>
  <si>
    <t xml:space="preserve">P.O. BOX 804483                                   </t>
  </si>
  <si>
    <t xml:space="preserve">CHICAGO                                </t>
  </si>
  <si>
    <t xml:space="preserve">BARNWELL COUNTY                                   </t>
  </si>
  <si>
    <t xml:space="preserve">MEDICAL CLAIMS MANAGEMENT CORP                    </t>
  </si>
  <si>
    <t xml:space="preserve">P O BOX  12995                                    </t>
  </si>
  <si>
    <t xml:space="preserve">THE HARVEST INSURANCE CO.                         </t>
  </si>
  <si>
    <t xml:space="preserve">P.O. BOX 956003                                   </t>
  </si>
  <si>
    <t xml:space="preserve">LAKE MARY                              </t>
  </si>
  <si>
    <t xml:space="preserve">C88  </t>
  </si>
  <si>
    <t xml:space="preserve">ADVENTIST RISK MANAGEMENT                         </t>
  </si>
  <si>
    <t xml:space="preserve">P.O. BOX 1928                                     </t>
  </si>
  <si>
    <t xml:space="preserve">MUTUAL ASSURANCE ADMINISTRATORS, INC              </t>
  </si>
  <si>
    <t xml:space="preserve">P.O. BOX 42096                                    </t>
  </si>
  <si>
    <t xml:space="preserve">B79  </t>
  </si>
  <si>
    <t xml:space="preserve">FOX-EVERETT INC.                                  </t>
  </si>
  <si>
    <t xml:space="preserve">P.O. BOX 6012                                     </t>
  </si>
  <si>
    <t xml:space="preserve">RIDGELAND                              </t>
  </si>
  <si>
    <t xml:space="preserve">ROCKY MOUNTIAN HEALTH PLAN                        </t>
  </si>
  <si>
    <t xml:space="preserve">P.O. BOX 10600                                    </t>
  </si>
  <si>
    <t xml:space="preserve">GRAND JUNCTION                         </t>
  </si>
  <si>
    <t xml:space="preserve">HEALTH PLANS INC.                                 </t>
  </si>
  <si>
    <t xml:space="preserve">P.O. BOX 5199                                     </t>
  </si>
  <si>
    <t xml:space="preserve">WESTBOROUGH                            </t>
  </si>
  <si>
    <t xml:space="preserve">CROSSAMERICA HEALTH PLAN                          </t>
  </si>
  <si>
    <t xml:space="preserve">P.O. BOX 5778                                     </t>
  </si>
  <si>
    <t xml:space="preserve">PARSIPPANY                             </t>
  </si>
  <si>
    <t xml:space="preserve">X1K  </t>
  </si>
  <si>
    <t xml:space="preserve">BLUE CROSS &amp; BLUE SHIELD OF MEMPHIS               </t>
  </si>
  <si>
    <t xml:space="preserve">MEMPHIS                                </t>
  </si>
  <si>
    <t xml:space="preserve">EMPLOYERS DIRECT HEALTH                           </t>
  </si>
  <si>
    <t xml:space="preserve">CARRIER WAS FIRST INTERGRATED HEALTH                                                                                                        </t>
  </si>
  <si>
    <t xml:space="preserve">B47  </t>
  </si>
  <si>
    <t xml:space="preserve">PHARMACY DATA MANAGEMENT, INC                     </t>
  </si>
  <si>
    <t xml:space="preserve">POLAND                                 </t>
  </si>
  <si>
    <t xml:space="preserve">GUARANTEE MUTUAL LIFE CO.                         </t>
  </si>
  <si>
    <t xml:space="preserve">STRATEGIC OUTBURSTING INC.                        </t>
  </si>
  <si>
    <t xml:space="preserve">P O BOX 241508                                    </t>
  </si>
  <si>
    <t xml:space="preserve">CODE NOT REQUESTED BY MEDICAID  ASSIGNED BY SCHA                                                                                            </t>
  </si>
  <si>
    <t xml:space="preserve">RESERVE NATIONAL INSURANCE                        </t>
  </si>
  <si>
    <t xml:space="preserve">P.O. BOX 26620                                    </t>
  </si>
  <si>
    <t xml:space="preserve">A57  </t>
  </si>
  <si>
    <t xml:space="preserve">AMERICAN GROUP ADMINISTRATORS, INC.               </t>
  </si>
  <si>
    <t xml:space="preserve">LAS VEGAS                              </t>
  </si>
  <si>
    <t>NV</t>
  </si>
  <si>
    <t xml:space="preserve">CIGNA INTERNATIONAL EXPATRIATE BENEFITS           </t>
  </si>
  <si>
    <t xml:space="preserve">P O BOX 15050                                     </t>
  </si>
  <si>
    <t xml:space="preserve">WILMINGTON                             </t>
  </si>
  <si>
    <t>DE</t>
  </si>
  <si>
    <t xml:space="preserve">A25  </t>
  </si>
  <si>
    <t xml:space="preserve">BENESCRIPT                                        </t>
  </si>
  <si>
    <t xml:space="preserve">GARDNER AND WHITE INC                             </t>
  </si>
  <si>
    <t xml:space="preserve">POST OFFICE BOX 40619                             </t>
  </si>
  <si>
    <t xml:space="preserve">A24  </t>
  </si>
  <si>
    <t xml:space="preserve">WELLPOINT NEXT RX                                 </t>
  </si>
  <si>
    <t xml:space="preserve">PO BOX  145433                                    </t>
  </si>
  <si>
    <t xml:space="preserve">USE CARRIER 333 EXPRESS SCRIPTS                                                                                                             </t>
  </si>
  <si>
    <t xml:space="preserve">AMERICAN BENEFITS MANAGEMENT                      </t>
  </si>
  <si>
    <t xml:space="preserve">NORTH CANTON                           </t>
  </si>
  <si>
    <t xml:space="preserve">UNITED BENEFITS                                   </t>
  </si>
  <si>
    <t xml:space="preserve">P.O. BOX 2480                                     </t>
  </si>
  <si>
    <t xml:space="preserve">DAYTONA BEACH                          </t>
  </si>
  <si>
    <t xml:space="preserve">WAS POE &amp; BROWN                                                                                                                             </t>
  </si>
  <si>
    <t xml:space="preserve">PENN TREATY NETWORK AMERICA (PTNA)                </t>
  </si>
  <si>
    <t xml:space="preserve">P.O. BOX 130                                      </t>
  </si>
  <si>
    <t xml:space="preserve">A65  </t>
  </si>
  <si>
    <t xml:space="preserve">DATARX                                            </t>
  </si>
  <si>
    <t xml:space="preserve">CUMMINGS                               </t>
  </si>
  <si>
    <t>C49DN</t>
  </si>
  <si>
    <t xml:space="preserve">PENN WESTERN BENEFITS, INC                        </t>
  </si>
  <si>
    <t xml:space="preserve">P O BOX 7834                                      </t>
  </si>
  <si>
    <t>C74DN</t>
  </si>
  <si>
    <t xml:space="preserve">P O BOX 220887                                    </t>
  </si>
  <si>
    <t xml:space="preserve">AMERICAN BENEFIT ADMINISTRATIVE SERVICES          </t>
  </si>
  <si>
    <t xml:space="preserve">P.O. BOX 0928                                     </t>
  </si>
  <si>
    <t xml:space="preserve">BROOKFIELD                             </t>
  </si>
  <si>
    <t xml:space="preserve">NEW ENGLAND GROUP TRUST                           </t>
  </si>
  <si>
    <t xml:space="preserve">P.O. BOX 30466                                    </t>
  </si>
  <si>
    <t xml:space="preserve">MID WEST NATIONAL LIFE INS. CO.                   </t>
  </si>
  <si>
    <t xml:space="preserve">P.O. BOX 981606                                   </t>
  </si>
  <si>
    <t xml:space="preserve">FISERV HEALTH-COLORADO                            </t>
  </si>
  <si>
    <t xml:space="preserve">P.O. BOX 720                                      </t>
  </si>
  <si>
    <t xml:space="preserve">PUEBLO                                 </t>
  </si>
  <si>
    <t xml:space="preserve">GERBER CHILDRENS WEAR, INC.                       </t>
  </si>
  <si>
    <t xml:space="preserve">P.O. BOX 2126                                     </t>
  </si>
  <si>
    <t xml:space="preserve">A68  </t>
  </si>
  <si>
    <t xml:space="preserve">HOLLINGSWORTH SACO LOWELL CORP.                   </t>
  </si>
  <si>
    <t xml:space="preserve">P O DRAWER 2327                                   </t>
  </si>
  <si>
    <t xml:space="preserve">DORMANT 8/06                                                                                                                                </t>
  </si>
  <si>
    <t xml:space="preserve">C59  </t>
  </si>
  <si>
    <t xml:space="preserve">HUMANA CHOICE (PPO)                               </t>
  </si>
  <si>
    <t xml:space="preserve">P.O .BOX 14605                                    </t>
  </si>
  <si>
    <t xml:space="preserve">AULTCARE                                          </t>
  </si>
  <si>
    <t xml:space="preserve">P.O. BOX 6910                                     </t>
  </si>
  <si>
    <t xml:space="preserve">CANTON                                 </t>
  </si>
  <si>
    <t xml:space="preserve">STATE MUTUAL INSURANCE                            </t>
  </si>
  <si>
    <t xml:space="preserve">P.O. BOX 10811                                    </t>
  </si>
  <si>
    <t xml:space="preserve">AON                                               </t>
  </si>
  <si>
    <t xml:space="preserve">POST OFFICE BOX 66                                </t>
  </si>
  <si>
    <t xml:space="preserve">OPTIMUM CHOICE OF THE CAROLINAS INC               </t>
  </si>
  <si>
    <t xml:space="preserve">B20  </t>
  </si>
  <si>
    <t xml:space="preserve">FMH BENEFIT SERVICES, INC.                        </t>
  </si>
  <si>
    <t xml:space="preserve">P.O. BOX 25946                                    </t>
  </si>
  <si>
    <t xml:space="preserve">CONSTITUTION LIFE INSURANCE CO                    </t>
  </si>
  <si>
    <t xml:space="preserve">C84  </t>
  </si>
  <si>
    <t xml:space="preserve">CENTRAL UNITED &amp; CHRISTIAN MUTUAL LIFE INS. CO.   </t>
  </si>
  <si>
    <t xml:space="preserve">X2C  </t>
  </si>
  <si>
    <t xml:space="preserve">CRIME VICTIMS                                     </t>
  </si>
  <si>
    <t xml:space="preserve">BEHAVIORAL HEALTH SYSTEMS                         </t>
  </si>
  <si>
    <t xml:space="preserve">P.O. BOX 830724                                   </t>
  </si>
  <si>
    <t xml:space="preserve">THOMAS COOPER AND COMPANY                         </t>
  </si>
  <si>
    <t xml:space="preserve">P.O. BOX 22557                                    </t>
  </si>
  <si>
    <t xml:space="preserve">NORTH AMERICAN BENEFIT NETWORK                    </t>
  </si>
  <si>
    <t xml:space="preserve">P O BOX 94928                                     </t>
  </si>
  <si>
    <t xml:space="preserve">ASSURANT HEALTH                                   </t>
  </si>
  <si>
    <t xml:space="preserve">P.O. BOX 2806                                     </t>
  </si>
  <si>
    <t xml:space="preserve">WAS FORTIS INSURANCE COMPANY                                                                                                                </t>
  </si>
  <si>
    <t xml:space="preserve">SPECTERA                                          </t>
  </si>
  <si>
    <t xml:space="preserve">X21  </t>
  </si>
  <si>
    <t xml:space="preserve">CAS  </t>
  </si>
  <si>
    <t xml:space="preserve">CASUALTY CASE                                     </t>
  </si>
  <si>
    <t xml:space="preserve">MEGA LIFE AND HEALTH INSURANCE COMPANY            </t>
  </si>
  <si>
    <t xml:space="preserve">P.O. BOX 982009                                   </t>
  </si>
  <si>
    <t xml:space="preserve">NORTH RICHLAND HILLS                   </t>
  </si>
  <si>
    <t xml:space="preserve">C72  </t>
  </si>
  <si>
    <t xml:space="preserve">ADVANCED INSURANCE ADMINISTRATION                 </t>
  </si>
  <si>
    <t xml:space="preserve">THIS CODE NOT REQUESTED BY MEDICAID. ASSIGNED BY SCHA                                                                                       </t>
  </si>
  <si>
    <t xml:space="preserve">D09  </t>
  </si>
  <si>
    <t xml:space="preserve">JM FAMILY ENTERPRISES                             </t>
  </si>
  <si>
    <t xml:space="preserve">C92  </t>
  </si>
  <si>
    <t xml:space="preserve">ROCKLIN                                </t>
  </si>
  <si>
    <t xml:space="preserve">D28  </t>
  </si>
  <si>
    <t xml:space="preserve">PYRAMID LIFE INSURANCE CO (PFFS)                  </t>
  </si>
  <si>
    <t xml:space="preserve">P.O. BOX 958465                                   </t>
  </si>
  <si>
    <t xml:space="preserve">EMPLOYEE BENEFIT SERVICES INC                     </t>
  </si>
  <si>
    <t xml:space="preserve">P.O. BOX 1929                                     </t>
  </si>
  <si>
    <t xml:space="preserve">X2X  </t>
  </si>
  <si>
    <t xml:space="preserve">BLUE  CROSS BLUE SHIELD OF HAWAII                 </t>
  </si>
  <si>
    <t xml:space="preserve">P.O. BOX 44500                                    </t>
  </si>
  <si>
    <t xml:space="preserve">HONOLULU                               </t>
  </si>
  <si>
    <t>HI</t>
  </si>
  <si>
    <t xml:space="preserve">D75  </t>
  </si>
  <si>
    <t xml:space="preserve">WINDSOR MEDICARE EXTRA                            </t>
  </si>
  <si>
    <t xml:space="preserve">P.O. BOX 269025                                   </t>
  </si>
  <si>
    <t xml:space="preserve">PLANTO                                 </t>
  </si>
  <si>
    <t>X0ODN</t>
  </si>
  <si>
    <t xml:space="preserve">BLUE CROSS AND BLUE SHIELD OF ALABAMA             </t>
  </si>
  <si>
    <t xml:space="preserve">P.O. BOX 830389                                   </t>
  </si>
  <si>
    <t xml:space="preserve">C36  </t>
  </si>
  <si>
    <t xml:space="preserve">NORTH AMERICAN INSURANCE COMPANY                  </t>
  </si>
  <si>
    <t xml:space="preserve">P O BOX 44160                                     </t>
  </si>
  <si>
    <t xml:space="preserve">COVENTRY HEALTHCARE OF DELAWARE, INC.             </t>
  </si>
  <si>
    <t xml:space="preserve">P O BOX 7713                                      </t>
  </si>
  <si>
    <t xml:space="preserve">CODE NOT REQUESTED BY MEDICAID.  ASSIGNED MY SCHA                                                                                           </t>
  </si>
  <si>
    <t xml:space="preserve">ASR CORP (ADMINISTRATION SYSTEM RESEARCH)         </t>
  </si>
  <si>
    <t xml:space="preserve">P.O. BOX 6392                                     </t>
  </si>
  <si>
    <t xml:space="preserve">SECURE HORIZONS                                   </t>
  </si>
  <si>
    <t xml:space="preserve">P.O. BOX 659787                                   </t>
  </si>
  <si>
    <t xml:space="preserve">FIRST HEALTH                                      </t>
  </si>
  <si>
    <t xml:space="preserve">P.O. BOX 1377                                     </t>
  </si>
  <si>
    <t xml:space="preserve">WEST PORT BENEFITS                                </t>
  </si>
  <si>
    <t xml:space="preserve">P.O. BOX 66743                                    </t>
  </si>
  <si>
    <t xml:space="preserve">ST. LOUIS                              </t>
  </si>
  <si>
    <t xml:space="preserve">JOHN ALDEN INSURANCE COMPANY                      </t>
  </si>
  <si>
    <t xml:space="preserve">POST OFFICE BOX 020270                            </t>
  </si>
  <si>
    <t xml:space="preserve">MIAMI                                  </t>
  </si>
  <si>
    <t xml:space="preserve">CORESOURCE, INC.                                  </t>
  </si>
  <si>
    <t xml:space="preserve">WATKINS ASSOCIATED INDUSTRIES                     </t>
  </si>
  <si>
    <t xml:space="preserve">P.O. BOX 1738                                     </t>
  </si>
  <si>
    <t xml:space="preserve">AMERICAN ADMINISTRATIVE GROUP                     </t>
  </si>
  <si>
    <t xml:space="preserve">P.O. BOX 5227                                     </t>
  </si>
  <si>
    <t xml:space="preserve">LISLE                                  </t>
  </si>
  <si>
    <t xml:space="preserve">CODE NOT REQUSTED BY MEDICAID.  ASSIGNED BY SCHA                                                                                            </t>
  </si>
  <si>
    <t xml:space="preserve">HEALTHCOMP ADMINISTRATORS                         </t>
  </si>
  <si>
    <t xml:space="preserve">P.O. BOX 45018                                    </t>
  </si>
  <si>
    <t xml:space="preserve">A34  </t>
  </si>
  <si>
    <t xml:space="preserve">WOODS &amp; GROOM                                     </t>
  </si>
  <si>
    <t xml:space="preserve">C49  </t>
  </si>
  <si>
    <t xml:space="preserve">B21  </t>
  </si>
  <si>
    <t xml:space="preserve">PIONEER HEALTH                                    </t>
  </si>
  <si>
    <t xml:space="preserve">P.O. BOX 6600                                     </t>
  </si>
  <si>
    <t xml:space="preserve">HOLYOKE                                </t>
  </si>
  <si>
    <t xml:space="preserve">P.O. BOX 2697                                     </t>
  </si>
  <si>
    <t xml:space="preserve">WICHITA                                </t>
  </si>
  <si>
    <t xml:space="preserve">USE CODE 139                                                                                                                                </t>
  </si>
  <si>
    <t xml:space="preserve">ADMINISTRATIVE SERVICES, INC.                     </t>
  </si>
  <si>
    <t xml:space="preserve">TUCKER                                 </t>
  </si>
  <si>
    <t xml:space="preserve">X20  </t>
  </si>
  <si>
    <t xml:space="preserve">SC DEPT OF DISABILITIES AND SPECIAL NEEDS         </t>
  </si>
  <si>
    <t xml:space="preserve">P.O. BOX 4706                                     </t>
  </si>
  <si>
    <t xml:space="preserve">SENIOR DIMENSIONS                                 </t>
  </si>
  <si>
    <t xml:space="preserve">PO BOX 15645                                      </t>
  </si>
  <si>
    <t xml:space="preserve">LAS VAGAS                              </t>
  </si>
  <si>
    <t xml:space="preserve">B02  </t>
  </si>
  <si>
    <t xml:space="preserve">LIFE INSURANCE CO. OF ALABAMA                     </t>
  </si>
  <si>
    <t xml:space="preserve">P.O. BOX 349                                      </t>
  </si>
  <si>
    <t xml:space="preserve">GADSDEN                                </t>
  </si>
  <si>
    <t xml:space="preserve">FISERV                                            </t>
  </si>
  <si>
    <t xml:space="preserve">P.O. BOX 8077                                     </t>
  </si>
  <si>
    <t xml:space="preserve">WAUSAU                                 </t>
  </si>
  <si>
    <t xml:space="preserve">X2D  </t>
  </si>
  <si>
    <t xml:space="preserve">DIRECT REIMBURSEMENT BENEFIT PLANS                </t>
  </si>
  <si>
    <t xml:space="preserve">A87  </t>
  </si>
  <si>
    <t xml:space="preserve">SOUTHEAST COMMUNITY CARE (ARCADIAN HEALTH)        </t>
  </si>
  <si>
    <t xml:space="preserve">P.O. BOX 4946                                     </t>
  </si>
  <si>
    <t xml:space="preserve">COVINA                                 </t>
  </si>
  <si>
    <t xml:space="preserve">MUTUAL OF OMAHA                                   </t>
  </si>
  <si>
    <t xml:space="preserve">MUTUAL OF OMAHA PLAZA                             </t>
  </si>
  <si>
    <t xml:space="preserve">MEDICARE INTERMEDIARY PART B                                                                                                                </t>
  </si>
  <si>
    <t xml:space="preserve">C40  </t>
  </si>
  <si>
    <t xml:space="preserve">AVERA HEALTH PLANS                                </t>
  </si>
  <si>
    <t xml:space="preserve">P.O. BOX 381506                                   </t>
  </si>
  <si>
    <t xml:space="preserve">D04  </t>
  </si>
  <si>
    <t xml:space="preserve">LBA HEALTH PLANS, INC./PRIMARY SELECT             </t>
  </si>
  <si>
    <t xml:space="preserve">P.O. BOX 17098                                    </t>
  </si>
  <si>
    <t xml:space="preserve">OWINGS MILL                            </t>
  </si>
  <si>
    <t xml:space="preserve">C94  </t>
  </si>
  <si>
    <t xml:space="preserve">D41  </t>
  </si>
  <si>
    <t xml:space="preserve">BLUEGRASS FAMILY HEALTH                           </t>
  </si>
  <si>
    <t xml:space="preserve">P.O. BOX 22738                                    </t>
  </si>
  <si>
    <t xml:space="preserve">AETNA PHARMACY                                    </t>
  </si>
  <si>
    <t xml:space="preserve">PO BOX 14024                                      </t>
  </si>
  <si>
    <t xml:space="preserve">CIGNA CONN GENERAL LIFE INSURANCE                 </t>
  </si>
  <si>
    <t xml:space="preserve">P.O. BOX 42005                                    </t>
  </si>
  <si>
    <t xml:space="preserve">DO NOT USE FOR MEDICARE.THIS CODE IS ONLY USED FOR HEALTH RELATED   COVERAGE                                                                </t>
  </si>
  <si>
    <t xml:space="preserve">WAUSAU INSURANCE COMPANY                          </t>
  </si>
  <si>
    <t xml:space="preserve">POST OFFICE BOX 8013                              </t>
  </si>
  <si>
    <t xml:space="preserve">WAUSAU,                                </t>
  </si>
  <si>
    <t xml:space="preserve">POLARIS BENEFIT ADMINISTRATORS                    </t>
  </si>
  <si>
    <t xml:space="preserve">P O BOX 1008                                      </t>
  </si>
  <si>
    <t xml:space="preserve">DELAWARE                               </t>
  </si>
  <si>
    <t xml:space="preserve">D32  </t>
  </si>
  <si>
    <t xml:space="preserve">MEDICARE COMPLETE (UNITED HEALTH CARE)            </t>
  </si>
  <si>
    <t xml:space="preserve">P.O. BOX 659735                                   </t>
  </si>
  <si>
    <t>X0YDN</t>
  </si>
  <si>
    <t xml:space="preserve">ANTHEM BLUE CROSS AND BLUE SHIELD                 </t>
  </si>
  <si>
    <t xml:space="preserve">ADMINISTRATIVE CONCEPTS INC.                      </t>
  </si>
  <si>
    <t xml:space="preserve">WAYNE                                  </t>
  </si>
  <si>
    <t xml:space="preserve">AMERICAN SPECIAL RISK MANAGEMENT                  </t>
  </si>
  <si>
    <t xml:space="preserve">MOORESTOWN                             </t>
  </si>
  <si>
    <t xml:space="preserve">COVENTRY HEALTH CARE OF THE CAROLINAS             </t>
  </si>
  <si>
    <t xml:space="preserve">P.O. BOX 7715                                     </t>
  </si>
  <si>
    <t xml:space="preserve">COVENTRY HEALTH CARE IS PARENT CO. OF SOUTHERN HEALTH AND WELLPATH                                                                          </t>
  </si>
  <si>
    <t xml:space="preserve">MERCY HEALTH PLANS                                </t>
  </si>
  <si>
    <t xml:space="preserve">PO BOX 4568                                       </t>
  </si>
  <si>
    <t xml:space="preserve">SPRINGFIELD                            </t>
  </si>
  <si>
    <t xml:space="preserve">MACY'S HR SERVICES                                </t>
  </si>
  <si>
    <t xml:space="preserve">P.O. BOX 850958                                   </t>
  </si>
  <si>
    <t xml:space="preserve">NATIONALWAY HEALTHCARE ASSOCIATES                 </t>
  </si>
  <si>
    <t xml:space="preserve">P O BOX 682708                                    </t>
  </si>
  <si>
    <t xml:space="preserve">PACIFICARE SENIOR SUPPLEMENT PLAN                 </t>
  </si>
  <si>
    <t xml:space="preserve">P.O. BOX 6072                                     </t>
  </si>
  <si>
    <t xml:space="preserve">CYPRESS                                </t>
  </si>
  <si>
    <t xml:space="preserve">CAPITOL AMERICAN LIFE INSURANCE COMPANY           </t>
  </si>
  <si>
    <t xml:space="preserve">P.O. BOX 94953                                    </t>
  </si>
  <si>
    <t xml:space="preserve">HORACE MANN LIFE INSURANCE COMPANY                </t>
  </si>
  <si>
    <t xml:space="preserve">MEDCARE INTERNATIONAL                             </t>
  </si>
  <si>
    <t xml:space="preserve">CORAL SPRINGS                          </t>
  </si>
  <si>
    <t xml:space="preserve">B94  </t>
  </si>
  <si>
    <t xml:space="preserve">THE CAPELLA GROUP                                 </t>
  </si>
  <si>
    <t xml:space="preserve">P.O. BOX 200368                                   </t>
  </si>
  <si>
    <t xml:space="preserve">ARLINGTON                              </t>
  </si>
  <si>
    <t xml:space="preserve">B44  </t>
  </si>
  <si>
    <t xml:space="preserve">P.O.BOX 922043                                    </t>
  </si>
  <si>
    <t xml:space="preserve">PREMIER HEALTH SYSTEMS                            </t>
  </si>
  <si>
    <t xml:space="preserve">P.O. BOX 1640                                     </t>
  </si>
  <si>
    <t xml:space="preserve">WEYCO, INC.                                       </t>
  </si>
  <si>
    <t xml:space="preserve">P O BOX 30132                                     </t>
  </si>
  <si>
    <t xml:space="preserve">LANSING                                </t>
  </si>
  <si>
    <t xml:space="preserve">MED COST BENEFITS SERVICES                        </t>
  </si>
  <si>
    <t xml:space="preserve">P.O. BOX 25307                                    </t>
  </si>
  <si>
    <t xml:space="preserve">A82  </t>
  </si>
  <si>
    <t xml:space="preserve">UNITED HEALTHCARE INDEMNITY                       </t>
  </si>
  <si>
    <t xml:space="preserve">P.O. BOX 740801                                   </t>
  </si>
  <si>
    <t xml:space="preserve">DHEC STERILIZATION                                </t>
  </si>
  <si>
    <t xml:space="preserve">B56  </t>
  </si>
  <si>
    <t xml:space="preserve">MEDSAVE USA                                       </t>
  </si>
  <si>
    <t xml:space="preserve">LAKELAND                               </t>
  </si>
  <si>
    <t xml:space="preserve">GE GROUP ADMINISTRATORS                           </t>
  </si>
  <si>
    <t xml:space="preserve">P.O. BOX 150809                                   </t>
  </si>
  <si>
    <t xml:space="preserve">PERFORMAX                                         </t>
  </si>
  <si>
    <t xml:space="preserve">AMHERST                                </t>
  </si>
  <si>
    <t xml:space="preserve">WEB-TPA AMERICAN FIDELITY ASSURANCE CO            </t>
  </si>
  <si>
    <t xml:space="preserve">P O BOX 99906                                     </t>
  </si>
  <si>
    <t xml:space="preserve">GROUP HEALTH ADMINISTRATOR INC                    </t>
  </si>
  <si>
    <t xml:space="preserve">P O BOX 6244                                      </t>
  </si>
  <si>
    <t xml:space="preserve">HEALTH PLAN OF NEVADA                             </t>
  </si>
  <si>
    <t xml:space="preserve">P.O. BOX 15645                                    </t>
  </si>
  <si>
    <t xml:space="preserve">A73  </t>
  </si>
  <si>
    <t xml:space="preserve">CLAIMS TECHNOLOGY, INC.                           </t>
  </si>
  <si>
    <t xml:space="preserve">DES MOINES                             </t>
  </si>
  <si>
    <t xml:space="preserve">D06  </t>
  </si>
  <si>
    <t xml:space="preserve">SOUTHERN CALIFORNIA BAKERY &amp; CONFECTIONARY        </t>
  </si>
  <si>
    <t xml:space="preserve">P.O. BOX 22041                                    </t>
  </si>
  <si>
    <t xml:space="preserve">COMMERCE                               </t>
  </si>
  <si>
    <t xml:space="preserve">D39  </t>
  </si>
  <si>
    <t xml:space="preserve">NEW YORK WELFARE FUND                             </t>
  </si>
  <si>
    <t xml:space="preserve">OZONE PARK                             </t>
  </si>
  <si>
    <t>X0YRX</t>
  </si>
  <si>
    <t xml:space="preserve">P.O. BOX 37010                                    </t>
  </si>
  <si>
    <t xml:space="preserve">D15  </t>
  </si>
  <si>
    <t xml:space="preserve">SECURITYCHOICE ENHANCED PLUS                      </t>
  </si>
  <si>
    <t xml:space="preserve">P O BOX 795180                                    </t>
  </si>
  <si>
    <t xml:space="preserve">D69  </t>
  </si>
  <si>
    <t xml:space="preserve">TOTAL CARE/HEALTHSPRING                           </t>
  </si>
  <si>
    <t xml:space="preserve">P.O. BOX 20000                                    </t>
  </si>
  <si>
    <t xml:space="preserve">SENTRY LIFE INSURANCE COMPANY                     </t>
  </si>
  <si>
    <t xml:space="preserve">P.O. BOX 8025                                     </t>
  </si>
  <si>
    <t xml:space="preserve">STEVENS POINT                          </t>
  </si>
  <si>
    <t xml:space="preserve">P.O. BOX 1358                                     </t>
  </si>
  <si>
    <t xml:space="preserve">GLEN BURNIE                            </t>
  </si>
  <si>
    <t xml:space="preserve">UNITED PROVIDER SERVICES                          </t>
  </si>
  <si>
    <t xml:space="preserve">P.O. BOX 820277                                   </t>
  </si>
  <si>
    <t xml:space="preserve">FORT WORTH                             </t>
  </si>
  <si>
    <t xml:space="preserve">CARRIER BOUGHT OUT BY CC 740 PHARMACARE                                                                                                     </t>
  </si>
  <si>
    <t xml:space="preserve">TODAY'S OPTIONS UNIVERSAL AMERICAN                </t>
  </si>
  <si>
    <t xml:space="preserve">P.O. BOX 742528                                   </t>
  </si>
  <si>
    <t xml:space="preserve">YORK COUNTY                                       </t>
  </si>
  <si>
    <t xml:space="preserve">SHESFIELD, OLSON &amp; MCQUEEN                        </t>
  </si>
  <si>
    <t xml:space="preserve">P.O. BOX 16608                                    </t>
  </si>
  <si>
    <t xml:space="preserve">ST PAUL                                </t>
  </si>
  <si>
    <t xml:space="preserve">BENEFIT ASSISTANCE CORP.                          </t>
  </si>
  <si>
    <t xml:space="preserve">P.O. BOX 950                                      </t>
  </si>
  <si>
    <t xml:space="preserve">HURRICANE                              </t>
  </si>
  <si>
    <t xml:space="preserve">SOUTHERN BENEFIT ADM.                             </t>
  </si>
  <si>
    <t xml:space="preserve">NORFOLK                                </t>
  </si>
  <si>
    <t xml:space="preserve">HIP HEALTH PLAN                                   </t>
  </si>
  <si>
    <t xml:space="preserve">P.O. BOX 2803                                     </t>
  </si>
  <si>
    <t xml:space="preserve">ST JOHN'S CLAIMS ADMINISTRATION                   </t>
  </si>
  <si>
    <t xml:space="preserve">P.O. BOX 14409                                    </t>
  </si>
  <si>
    <t xml:space="preserve">NEW YORK LIFE INSURANCE COMPANY                   </t>
  </si>
  <si>
    <t xml:space="preserve">POST OFFICE BOX 105095                            </t>
  </si>
  <si>
    <t xml:space="preserve">SHEET METAL LOCAL 20                              </t>
  </si>
  <si>
    <t xml:space="preserve">PO BOX 42489                                      </t>
  </si>
  <si>
    <t xml:space="preserve">C52  </t>
  </si>
  <si>
    <t xml:space="preserve">TPA OF GEORGIA                                    </t>
  </si>
  <si>
    <t xml:space="preserve">LILBURN                                </t>
  </si>
  <si>
    <t xml:space="preserve">C11  </t>
  </si>
  <si>
    <t xml:space="preserve">BENEFIT MANAGEMENT SERVICES INC                   </t>
  </si>
  <si>
    <t xml:space="preserve">P O BOX 1178                                      </t>
  </si>
  <si>
    <t xml:space="preserve">MATTHEWS                               </t>
  </si>
  <si>
    <t xml:space="preserve">B90  </t>
  </si>
  <si>
    <t xml:space="preserve">RXEDO                                             </t>
  </si>
  <si>
    <t xml:space="preserve">P O BOX 2500, STE 490                             </t>
  </si>
  <si>
    <t xml:space="preserve">FIRST CHOICE BENEFITS MANAGEMENT                  </t>
  </si>
  <si>
    <t xml:space="preserve">P O BOX 658                                       </t>
  </si>
  <si>
    <t xml:space="preserve">BELOIT                                 </t>
  </si>
  <si>
    <t xml:space="preserve">X2V  </t>
  </si>
  <si>
    <t xml:space="preserve">BLUE CROSS OF IDAHO HEALTH SERVICE, INC.          </t>
  </si>
  <si>
    <t xml:space="preserve">P O BOX 7408                                      </t>
  </si>
  <si>
    <t xml:space="preserve">BOISE                                  </t>
  </si>
  <si>
    <t xml:space="preserve">C18  </t>
  </si>
  <si>
    <t xml:space="preserve">EVOLUTIONS HEALTHCARE SYSTEMS                     </t>
  </si>
  <si>
    <t xml:space="preserve">P.O. BOX 5001                                     </t>
  </si>
  <si>
    <t xml:space="preserve">NEW PORT RICHEY,                       </t>
  </si>
  <si>
    <t xml:space="preserve">ANNUITY BOARD OF SOUTHERN BAPTIST CONVENTION      </t>
  </si>
  <si>
    <t xml:space="preserve">P.O. BOX 2190                                     </t>
  </si>
  <si>
    <t xml:space="preserve">P O BOX 724317                                    </t>
  </si>
  <si>
    <t xml:space="preserve">J C PENNEY LIFE INSURANCE COMPANY                 </t>
  </si>
  <si>
    <t xml:space="preserve">POST OFFICE BOX 869090                            </t>
  </si>
  <si>
    <t xml:space="preserve">X0C  </t>
  </si>
  <si>
    <t xml:space="preserve">P O BOX 35                                        </t>
  </si>
  <si>
    <t xml:space="preserve">PLAN HANDLERS                                     </t>
  </si>
  <si>
    <t xml:space="preserve">ESCONDIDO                              </t>
  </si>
  <si>
    <t xml:space="preserve">ALLSTATE INSURANCE                                </t>
  </si>
  <si>
    <t xml:space="preserve">P.O. BOX 7068                                     </t>
  </si>
  <si>
    <t xml:space="preserve">SMITH ADMINISTRATORS                              </t>
  </si>
  <si>
    <t xml:space="preserve">P.O. BOX 163289                                   </t>
  </si>
  <si>
    <t xml:space="preserve">PROFESSIONAL ADMINISTRATORS, INC.                 </t>
  </si>
  <si>
    <t xml:space="preserve">B40  </t>
  </si>
  <si>
    <t xml:space="preserve">TOTAL CLAIMS SOLUTION (TCS)                       </t>
  </si>
  <si>
    <t xml:space="preserve">P.O. BOX 10888                                    </t>
  </si>
  <si>
    <t xml:space="preserve">A72  </t>
  </si>
  <si>
    <t xml:space="preserve">BABB, INC.                                        </t>
  </si>
  <si>
    <t xml:space="preserve">HUMANA GOLD CHOICE (PFFS)                         </t>
  </si>
  <si>
    <t xml:space="preserve">P.O. BOX 7060                                     </t>
  </si>
  <si>
    <t xml:space="preserve">CAMDEN                                 </t>
  </si>
  <si>
    <t xml:space="preserve">HEALTHSMART PREFERRED CARE                        </t>
  </si>
  <si>
    <t xml:space="preserve">P.O. BOX 53010                                    </t>
  </si>
  <si>
    <t xml:space="preserve">LUBBOCK                                </t>
  </si>
  <si>
    <t xml:space="preserve">CENTRAL STATES, SOUTHEAST &amp; SOUTHWEST             </t>
  </si>
  <si>
    <t xml:space="preserve">P.O. BOX 5116                                     </t>
  </si>
  <si>
    <t xml:space="preserve">DEPLAINES                              </t>
  </si>
  <si>
    <t xml:space="preserve">D58  </t>
  </si>
  <si>
    <t xml:space="preserve">BRAVO HEALTH MEDICARE ADVANTAGE                   </t>
  </si>
  <si>
    <t xml:space="preserve">P.O, BOX 4433                                     </t>
  </si>
  <si>
    <t xml:space="preserve">D16  </t>
  </si>
  <si>
    <t xml:space="preserve">AETNA MEDICARE OPEN PLAN                          </t>
  </si>
  <si>
    <t xml:space="preserve">P.O.BOX 14079                                     </t>
  </si>
  <si>
    <t>XOKRX</t>
  </si>
  <si>
    <t xml:space="preserve">REGENCE BCBS OF OREGON RX PLAN                    </t>
  </si>
  <si>
    <t xml:space="preserve">P.O. BOX 12625 MAILSTOP S4P                       </t>
  </si>
  <si>
    <t xml:space="preserve">SALEM                                  </t>
  </si>
  <si>
    <t xml:space="preserve">RX PLAN ONLY MM PLAN IS X0K                                                                                                                 </t>
  </si>
  <si>
    <t xml:space="preserve">C41  </t>
  </si>
  <si>
    <t xml:space="preserve">INSUREX BENEFITS ADMINISTRATORS, INC.             </t>
  </si>
  <si>
    <t xml:space="preserve">PO BOX 41779                                      </t>
  </si>
  <si>
    <t xml:space="preserve">C43  </t>
  </si>
  <si>
    <t xml:space="preserve">EMPLOYEE BENEFIT ADMINISTRATORS                   </t>
  </si>
  <si>
    <t xml:space="preserve">P O BOX 5150                                      </t>
  </si>
  <si>
    <t xml:space="preserve">MED COST PREFERRED                                </t>
  </si>
  <si>
    <t xml:space="preserve">P.O. BOX 25437                                    </t>
  </si>
  <si>
    <t xml:space="preserve">P.O. BOX 546                                      </t>
  </si>
  <si>
    <t xml:space="preserve">FARRINGTON                             </t>
  </si>
  <si>
    <t xml:space="preserve">PREFERRED HEALTHCARE SYSTEMS                      </t>
  </si>
  <si>
    <t xml:space="preserve">ALTOONA                                </t>
  </si>
  <si>
    <t xml:space="preserve">C66  </t>
  </si>
  <si>
    <t xml:space="preserve">CATERPILLAR, INC.                                 </t>
  </si>
  <si>
    <t xml:space="preserve">P O BOX 62920                                     </t>
  </si>
  <si>
    <t xml:space="preserve">COLORADO SPRINGS                       </t>
  </si>
  <si>
    <t xml:space="preserve">BANKERS FIDELITY LIFE INSURANCE COMPANY           </t>
  </si>
  <si>
    <t xml:space="preserve">P.O. BOX 260040                                   </t>
  </si>
  <si>
    <t xml:space="preserve">THID CODE NOT REQUESTED BY MEDICAID.  ASSIGNED BY SCHA                                                                                      </t>
  </si>
  <si>
    <t xml:space="preserve">CIGNA PHARMACY SERVICES                           </t>
  </si>
  <si>
    <t xml:space="preserve">P.O. BOX 188053                                   </t>
  </si>
  <si>
    <t xml:space="preserve">MEDICA                                            </t>
  </si>
  <si>
    <t xml:space="preserve">P.O. BOX 30990                                    </t>
  </si>
  <si>
    <t xml:space="preserve">FHA-TPA DIVISION                                  </t>
  </si>
  <si>
    <t xml:space="preserve">POST OFFICE BOX 327810                            </t>
  </si>
  <si>
    <t xml:space="preserve">FT LAUDERDALE                          </t>
  </si>
  <si>
    <t xml:space="preserve">CAPITOL ADMINISTRATORS OF THE SOUTHEAST           </t>
  </si>
  <si>
    <t xml:space="preserve">P.O. BOX 346                                      </t>
  </si>
  <si>
    <t xml:space="preserve">GOOD SAMARITAN PROGRAM                            </t>
  </si>
  <si>
    <t xml:space="preserve">BEACHGROVE                             </t>
  </si>
  <si>
    <t xml:space="preserve">X0O  </t>
  </si>
  <si>
    <t xml:space="preserve">P O BOX 2294                                      </t>
  </si>
  <si>
    <t xml:space="preserve">DO NOT USE FOR MEDICARE.THIS CODE IS ONLY USED FOR HEALTH RELATED   COVERAGE.                                                               </t>
  </si>
  <si>
    <t xml:space="preserve">LIFE REINSURANCE CO.                              </t>
  </si>
  <si>
    <t xml:space="preserve">P.O. BOX 792070                                   </t>
  </si>
  <si>
    <t xml:space="preserve">ONENET PPO                                        </t>
  </si>
  <si>
    <t xml:space="preserve">P.O. BOX 934                                      </t>
  </si>
  <si>
    <t xml:space="preserve">NMU PENSION &amp; WELFARE FUND                        </t>
  </si>
  <si>
    <t xml:space="preserve">WILLIS CORROON ADMINISTRATIVE SERVICES            </t>
  </si>
  <si>
    <t xml:space="preserve">POST OFFICE BOX 305154                            </t>
  </si>
  <si>
    <t xml:space="preserve">GLASS MOTORS &amp; PLASTIC (GMPA)                     </t>
  </si>
  <si>
    <t xml:space="preserve">FORT MYERS                             </t>
  </si>
  <si>
    <t xml:space="preserve">DARLINGTON COUNTY                                 </t>
  </si>
  <si>
    <t xml:space="preserve">UNION BANKERS INSURANCE COMPANY                   </t>
  </si>
  <si>
    <t xml:space="preserve">POST OFFICE BOX 655433                            </t>
  </si>
  <si>
    <t xml:space="preserve">OXFORD LIFE INSURANCE COMPANY                     </t>
  </si>
  <si>
    <t xml:space="preserve">P.O. BOX 46518                                    </t>
  </si>
  <si>
    <t xml:space="preserve">LT11-LIFETRAC NETWORK                             </t>
  </si>
  <si>
    <t xml:space="preserve">INTER CARE BENEFIT SYSTEMS                        </t>
  </si>
  <si>
    <t xml:space="preserve">P.O. BOX 3559                                     </t>
  </si>
  <si>
    <t xml:space="preserve">ENGLEWOOD                              </t>
  </si>
  <si>
    <t xml:space="preserve">PRIME TIME HEALTH PLAN                            </t>
  </si>
  <si>
    <t xml:space="preserve">P.O. BOX 6905                                     </t>
  </si>
  <si>
    <t xml:space="preserve">BEST CHOICE HEALTH PLAN                           </t>
  </si>
  <si>
    <t xml:space="preserve">P.O. BOX 21128                                    </t>
  </si>
  <si>
    <t xml:space="preserve">FORT LAUDERDALE                        </t>
  </si>
  <si>
    <t xml:space="preserve">C93  </t>
  </si>
  <si>
    <t xml:space="preserve">STUDENT ASSURANCE INSURANCE SERVICES              </t>
  </si>
  <si>
    <t xml:space="preserve">P.O. BOX 196                                      </t>
  </si>
  <si>
    <t xml:space="preserve">STILL WATER                            </t>
  </si>
  <si>
    <t xml:space="preserve">PALMER &amp; CAY/CARSWELL, INC.                       </t>
  </si>
  <si>
    <t xml:space="preserve">POST OFFICE BOX 1286                              </t>
  </si>
  <si>
    <t xml:space="preserve">D45  </t>
  </si>
  <si>
    <t xml:space="preserve">HIGHMARK SECURITY BLUE                            </t>
  </si>
  <si>
    <t xml:space="preserve">X2Y  </t>
  </si>
  <si>
    <t xml:space="preserve">BLUE CROSS BLUE SHIELD OF MONTANA                 </t>
  </si>
  <si>
    <t xml:space="preserve">P.O. BOX 5004                                     </t>
  </si>
  <si>
    <t xml:space="preserve">GREAT FALLS                            </t>
  </si>
  <si>
    <t xml:space="preserve">SMITH PREMIERE PHARMACY PLAN                      </t>
  </si>
  <si>
    <t xml:space="preserve">P.O. BOX 5824                                     </t>
  </si>
  <si>
    <t xml:space="preserve">SPARTANBURG                            </t>
  </si>
  <si>
    <t xml:space="preserve">OFFICE OF GROUP BENEFITS STATE OF LOUISIANA       </t>
  </si>
  <si>
    <t xml:space="preserve">X2P  </t>
  </si>
  <si>
    <t xml:space="preserve">MOUNTAIN STATE BLUE CROSS &amp; BLUE SHIELD, INC.     </t>
  </si>
  <si>
    <t xml:space="preserve">P O BOX 1948                                      </t>
  </si>
  <si>
    <t xml:space="preserve">PARKERSBERG                            </t>
  </si>
  <si>
    <t xml:space="preserve">DHEC MIGRANT HEALTH                               </t>
  </si>
  <si>
    <t xml:space="preserve">STONEBRIDGE LIFE INSURANCE CO.                    </t>
  </si>
  <si>
    <t xml:space="preserve">XOV  </t>
  </si>
  <si>
    <t xml:space="preserve">BLUE CROSS OF NORTHEASTERN NEW YORK INC           </t>
  </si>
  <si>
    <t xml:space="preserve">P O BOX 15013                                     </t>
  </si>
  <si>
    <t xml:space="preserve">ALBANY                                 </t>
  </si>
  <si>
    <t xml:space="preserve">B61  </t>
  </si>
  <si>
    <t xml:space="preserve">AMERICAN BEHAVIORAL                               </t>
  </si>
  <si>
    <t xml:space="preserve">MMSI MAYO MANAGEMENT SERVICES                     </t>
  </si>
  <si>
    <t>NM</t>
  </si>
  <si>
    <t xml:space="preserve">CODE ASSIGNED BY SCHA  SEE CARRIER CODE 536                                                                                                 </t>
  </si>
  <si>
    <t xml:space="preserve">MHEALTH                                           </t>
  </si>
  <si>
    <t xml:space="preserve">P.O. BOX 742567                                   </t>
  </si>
  <si>
    <t xml:space="preserve">HOUSTON                                </t>
  </si>
  <si>
    <t>TX</t>
  </si>
  <si>
    <t xml:space="preserve">  </t>
  </si>
  <si>
    <t xml:space="preserve">UNITED BENEFIT LIFE INSURANCE                     </t>
  </si>
  <si>
    <t xml:space="preserve">FT. WORTH                              </t>
  </si>
  <si>
    <t xml:space="preserve">CO5  </t>
  </si>
  <si>
    <t xml:space="preserve">GERBER LIFE INSURANCE COMPANY                     </t>
  </si>
  <si>
    <t xml:space="preserve">P.O. BOX 2088                                     </t>
  </si>
  <si>
    <t xml:space="preserve">GRAND RAPIDS                           </t>
  </si>
  <si>
    <t>MI</t>
  </si>
  <si>
    <t xml:space="preserve">UNITED FOOD &amp; COMMERICAL WORKER HEALTH&amp;WELFARE    </t>
  </si>
  <si>
    <t xml:space="preserve">SPARKS                                 </t>
  </si>
  <si>
    <t>MD</t>
  </si>
  <si>
    <t xml:space="preserve">CODE NOT REQUESTED BY MEDICAID.  ASSIGNED BY SCHA                                                                                           </t>
  </si>
  <si>
    <t xml:space="preserve">X0I  </t>
  </si>
  <si>
    <t xml:space="preserve">BLUE CROSS &amp; BLUE SHIELD OF MARYLAND, INC.        </t>
  </si>
  <si>
    <t xml:space="preserve">P O BOX 9836                                      </t>
  </si>
  <si>
    <t xml:space="preserve">BALTIMORE                              </t>
  </si>
  <si>
    <t xml:space="preserve">USE CARRIER X01                                                                                                                             </t>
  </si>
  <si>
    <t xml:space="preserve">LEXINGTON COUNTY                                  </t>
  </si>
  <si>
    <t xml:space="preserve">FEDERAL MOGUL HEALTHCARE                          </t>
  </si>
  <si>
    <t xml:space="preserve">P O BOX 1999                                      </t>
  </si>
  <si>
    <t xml:space="preserve">DETROIT                                </t>
  </si>
  <si>
    <t xml:space="preserve">PIEDMONT HEALTH ALLIANCE                          </t>
  </si>
  <si>
    <t xml:space="preserve">ANDERSON                               </t>
  </si>
  <si>
    <t>SC</t>
  </si>
  <si>
    <t xml:space="preserve">PACIFIC MUTUAL LIFE INSURANCE COMPANY             </t>
  </si>
  <si>
    <t xml:space="preserve">NEWPORT BEACH                          </t>
  </si>
  <si>
    <t>CA</t>
  </si>
  <si>
    <t xml:space="preserve">GUARDIAN LIFE INSURANCE COMPANY OF AMERICA        </t>
  </si>
  <si>
    <t xml:space="preserve">P O BOX 8019                                      </t>
  </si>
  <si>
    <t xml:space="preserve">APPLETON                               </t>
  </si>
  <si>
    <t>WI</t>
  </si>
  <si>
    <t xml:space="preserve">GREAT WEST LIFE                                   </t>
  </si>
  <si>
    <t xml:space="preserve">KENNETT                                </t>
  </si>
  <si>
    <t>MO</t>
  </si>
  <si>
    <t xml:space="preserve">ALTA RX                                           </t>
  </si>
  <si>
    <t xml:space="preserve">P.O. BOX 30081                                    </t>
  </si>
  <si>
    <t xml:space="preserve">SALT LAKE CITY                         </t>
  </si>
  <si>
    <t>UT</t>
  </si>
  <si>
    <t xml:space="preserve">NORTH CAROLINA MUTUAL LIFE INSURANCE              </t>
  </si>
  <si>
    <t xml:space="preserve">DURHAM                                 </t>
  </si>
  <si>
    <t>NC</t>
  </si>
  <si>
    <t xml:space="preserve">USI                                               </t>
  </si>
  <si>
    <t xml:space="preserve">POST OFFICE BOX 9888                              </t>
  </si>
  <si>
    <t xml:space="preserve">SAVANNAH                               </t>
  </si>
  <si>
    <t>GA</t>
  </si>
  <si>
    <t xml:space="preserve">THIS CARRIER BOUGHT JONES, HILL &amp; MERCER INS.                                                                                               </t>
  </si>
  <si>
    <t xml:space="preserve">FUTURE SCRIPTS                                    </t>
  </si>
  <si>
    <t xml:space="preserve">P.O. BOX 419019                                   </t>
  </si>
  <si>
    <t xml:space="preserve">KANSAS CITY                            </t>
  </si>
  <si>
    <t xml:space="preserve">PINNACLE CLAIMS MANAGEMENT INC                    </t>
  </si>
  <si>
    <t xml:space="preserve">FRESNO                                 </t>
  </si>
  <si>
    <t xml:space="preserve">CODE ASSIGNED BY SCHA                                                                                                                       </t>
  </si>
  <si>
    <t xml:space="preserve">B76  </t>
  </si>
  <si>
    <t xml:space="preserve">INTERNATIONAL ASSO. BENEFITS                      </t>
  </si>
  <si>
    <t xml:space="preserve">WASHINGTON                             </t>
  </si>
  <si>
    <t>DC</t>
  </si>
  <si>
    <t xml:space="preserve">B63  </t>
  </si>
  <si>
    <t xml:space="preserve">EASTERN LIFE AND  HEALTH INSURANCE                </t>
  </si>
  <si>
    <t xml:space="preserve">P.O. BOX 10188                                    </t>
  </si>
  <si>
    <t xml:space="preserve">LANCASTER                              </t>
  </si>
  <si>
    <t>PA</t>
  </si>
  <si>
    <t xml:space="preserve">C16  </t>
  </si>
  <si>
    <t xml:space="preserve">CONSOLIDATED BENEFITS, INC                        </t>
  </si>
  <si>
    <t xml:space="preserve">P O BOX 23686                                     </t>
  </si>
  <si>
    <t xml:space="preserve">COLUMBIA                               </t>
  </si>
  <si>
    <t xml:space="preserve">B19  </t>
  </si>
  <si>
    <t xml:space="preserve">RENAISSANCE DENTAL                                </t>
  </si>
  <si>
    <t xml:space="preserve">P O BOX 17250                                     </t>
  </si>
  <si>
    <t xml:space="preserve">INDIANAPOLIS                           </t>
  </si>
  <si>
    <t>IN</t>
  </si>
  <si>
    <t xml:space="preserve">A39  </t>
  </si>
  <si>
    <t xml:space="preserve">COMPLETE BENEFITS SOLUTIONS                       </t>
  </si>
  <si>
    <t xml:space="preserve">P.O. BOX 3649                                     </t>
  </si>
  <si>
    <t xml:space="preserve">GREENVILLE                             </t>
  </si>
  <si>
    <t xml:space="preserve">MEDICAL MUTUAL INSURANCE OF OHIO                  </t>
  </si>
  <si>
    <t xml:space="preserve">P O BOX 94648                                     </t>
  </si>
  <si>
    <t xml:space="preserve">CLEVELAND                              </t>
  </si>
  <si>
    <t>OH</t>
  </si>
  <si>
    <t xml:space="preserve">AMERICAN ASSOCIATION OF RETIRED PERSONS (AARP)    </t>
  </si>
  <si>
    <t xml:space="preserve">P O BOX 740819                                    </t>
  </si>
  <si>
    <t xml:space="preserve">ATLANTA                                </t>
  </si>
  <si>
    <t xml:space="preserve">CLARENDON COUNTY                                  </t>
  </si>
  <si>
    <t xml:space="preserve">GOODYEAR TIRE &amp; RUBBER COMPANY                    </t>
  </si>
  <si>
    <t xml:space="preserve">P.O. BOX 677 DEPT. 609                            </t>
  </si>
  <si>
    <t xml:space="preserve">AKRON                                  </t>
  </si>
  <si>
    <t xml:space="preserve">NEWBERRY COUNTY                                   </t>
  </si>
  <si>
    <t xml:space="preserve">B88  </t>
  </si>
  <si>
    <t xml:space="preserve">GETTYSBURG HEALTH ADMINISTRATORS                  </t>
  </si>
  <si>
    <t xml:space="preserve">P.O. BOX 1169                                     </t>
  </si>
  <si>
    <t xml:space="preserve">FREDERICK                              </t>
  </si>
  <si>
    <t xml:space="preserve">B83  </t>
  </si>
  <si>
    <t xml:space="preserve">STATE OF LOUISIANA EMPLOYEES                      </t>
  </si>
  <si>
    <t xml:space="preserve">P.O. BOX 44036                                    </t>
  </si>
  <si>
    <t xml:space="preserve">BATON ROUGE                            </t>
  </si>
  <si>
    <t>LA</t>
  </si>
  <si>
    <t xml:space="preserve">THIS CODE NOT REQUESTED BY MEDICAID.  ASSSIGNED BY SCHA                                                                                     </t>
  </si>
  <si>
    <t xml:space="preserve">HEALTH EXCHANGE (TPA FOR CERNER HEALTH)           </t>
  </si>
  <si>
    <t xml:space="preserve">PO BOX 165750                                     </t>
  </si>
  <si>
    <t xml:space="preserve">CODE IN OPEN STATUS BY SCHA                                                                                                                 </t>
  </si>
  <si>
    <t xml:space="preserve">HUMANA                                            </t>
  </si>
  <si>
    <t xml:space="preserve">GREEN BAY                              </t>
  </si>
  <si>
    <t xml:space="preserve">KEY BENEFITS-TRANSCHOICE PLUS                     </t>
  </si>
  <si>
    <t xml:space="preserve">P.O.BOX 1279                                      </t>
  </si>
  <si>
    <t xml:space="preserve">FORT MILL                              </t>
  </si>
  <si>
    <t xml:space="preserve">CITIZENS SECURITY LIFE INS.                       </t>
  </si>
  <si>
    <t xml:space="preserve">P.O. BOX 436149                                   </t>
  </si>
  <si>
    <t xml:space="preserve">LOUISVILLE                             </t>
  </si>
  <si>
    <t>KY</t>
  </si>
  <si>
    <t xml:space="preserve">FIDELITY LIFE SECURITY                            </t>
  </si>
  <si>
    <t xml:space="preserve">THE EPOCH GROUP                                   </t>
  </si>
  <si>
    <t xml:space="preserve">POST OFFICE BOX 12170                             </t>
  </si>
  <si>
    <t xml:space="preserve">OVERLAND PARK                          </t>
  </si>
  <si>
    <t>KS</t>
  </si>
  <si>
    <t xml:space="preserve">KEYSTON HEALTH PLAN EAST                          </t>
  </si>
  <si>
    <t xml:space="preserve">P.O. BOX 8339                                     </t>
  </si>
  <si>
    <t xml:space="preserve">PHILADELPHIA                           </t>
  </si>
  <si>
    <t xml:space="preserve">C81  </t>
  </si>
  <si>
    <t xml:space="preserve">UNITED PAYORS &amp; UNITED PROVIDERS                  </t>
  </si>
  <si>
    <t xml:space="preserve">ROCKVILLE                              </t>
  </si>
  <si>
    <t xml:space="preserve">C30  </t>
  </si>
  <si>
    <t xml:space="preserve">KEENAN AND COMPANY                                </t>
  </si>
  <si>
    <t xml:space="preserve">P.O. BOX 11431                                    </t>
  </si>
  <si>
    <t xml:space="preserve">TORRANCE                               </t>
  </si>
  <si>
    <t xml:space="preserve">THIS CODE NOT REQUESTED BY MEDICAID.  ASSIGNED BY SCHA                                                                                      </t>
  </si>
  <si>
    <t xml:space="preserve">X1F  </t>
  </si>
  <si>
    <t xml:space="preserve">BLUE CROSS &amp; BLUE SHIELD OF RHODE ISLAND          </t>
  </si>
  <si>
    <t xml:space="preserve">PROVIDENCE                             </t>
  </si>
  <si>
    <t>RI</t>
  </si>
  <si>
    <t xml:space="preserve">X1Y  </t>
  </si>
  <si>
    <t xml:space="preserve">BLUE SHIELD OF CALIFORNIA                         </t>
  </si>
  <si>
    <t xml:space="preserve">P O BOX 272540                                    </t>
  </si>
  <si>
    <t xml:space="preserve">CHICO                                  </t>
  </si>
  <si>
    <t xml:space="preserve">COMM FOR BLIND                                    </t>
  </si>
  <si>
    <t xml:space="preserve">ALICARE                                           </t>
  </si>
  <si>
    <t xml:space="preserve">P.O. BOX 1447                                     </t>
  </si>
  <si>
    <t xml:space="preserve">NEW YORK                               </t>
  </si>
  <si>
    <t>NY</t>
  </si>
  <si>
    <t xml:space="preserve">PARAMOUNT HEALTH CARE                             </t>
  </si>
  <si>
    <t xml:space="preserve">P.O. BOX 497                                      </t>
  </si>
  <si>
    <t xml:space="preserve">TOLEDO                                 </t>
  </si>
  <si>
    <t xml:space="preserve">A06  </t>
  </si>
  <si>
    <t xml:space="preserve">COLONIAL PENN FRANKLIN LIFE INSURANCE COMPANY     </t>
  </si>
  <si>
    <t xml:space="preserve">THIS CARRIER PART OF CONSECO INSURANCE GROUP                                                                                                </t>
  </si>
  <si>
    <t xml:space="preserve">SEAFARERS HEALTH &amp; BENEFIT PLAN (SHBP)            </t>
  </si>
  <si>
    <t xml:space="preserve">P.O. BOX 380                                      </t>
  </si>
  <si>
    <t xml:space="preserve">PINEY POINT                            </t>
  </si>
  <si>
    <t xml:space="preserve">STANDARD SECURITY LIFE INS. CO OF NEW YORK        </t>
  </si>
  <si>
    <t xml:space="preserve">P.O. BOX 828                                      </t>
  </si>
  <si>
    <t xml:space="preserve">PARK RIDGE                             </t>
  </si>
  <si>
    <t>IL</t>
  </si>
  <si>
    <t xml:space="preserve">UNITED RESOURCE NETWORK                           </t>
  </si>
  <si>
    <t xml:space="preserve">P.O. BOX 30758                                    </t>
  </si>
  <si>
    <t xml:space="preserve">AMERIHEALTH MERCY HEALTH PLAN                     </t>
  </si>
  <si>
    <t xml:space="preserve">P.O. BOX 7118                                     </t>
  </si>
  <si>
    <t xml:space="preserve">LONDON                                 </t>
  </si>
  <si>
    <t xml:space="preserve">HUMANA GOLD PLUS                                  </t>
  </si>
  <si>
    <t xml:space="preserve">P.O. BOX 14601                                    </t>
  </si>
  <si>
    <t xml:space="preserve">LEXINGTON                              </t>
  </si>
  <si>
    <t xml:space="preserve">MEDICARE ADVANTAGE PLAN                                                                                                                     </t>
  </si>
  <si>
    <t xml:space="preserve">CHILDRENS REHAB SERVICES                          </t>
  </si>
  <si>
    <t xml:space="preserve">P.O. BOX 4217                                     </t>
  </si>
  <si>
    <t xml:space="preserve">SPATANBURG                             </t>
  </si>
  <si>
    <t xml:space="preserve">GENWORTH FINANCIAL                                </t>
  </si>
  <si>
    <t xml:space="preserve">P.O. BOX 8021                                     </t>
  </si>
  <si>
    <t xml:space="preserve">SAN RAFAEL                             </t>
  </si>
  <si>
    <t xml:space="preserve">WAS G E FINANCIAL SERVICES                                                                                                                  </t>
  </si>
  <si>
    <t xml:space="preserve">MANAGED HEALTH NETWORK                            </t>
  </si>
  <si>
    <t xml:space="preserve">P.O.BOX 209010                                    </t>
  </si>
  <si>
    <t xml:space="preserve">AUSTIN                                 </t>
  </si>
  <si>
    <t xml:space="preserve">INSURANCE ADMINISTRATION CORP.                    </t>
  </si>
  <si>
    <t xml:space="preserve">P.O. BOX 39119                                    </t>
  </si>
  <si>
    <t xml:space="preserve">PHOENIX                                </t>
  </si>
  <si>
    <t>AZ</t>
  </si>
  <si>
    <t xml:space="preserve">KANSAS CITY LIFE                                  </t>
  </si>
  <si>
    <t xml:space="preserve">P.O. BOX 219325                                   </t>
  </si>
  <si>
    <t xml:space="preserve">TIM BAR CORP                                      </t>
  </si>
  <si>
    <t xml:space="preserve">P.O. BOX 449                                      </t>
  </si>
  <si>
    <t xml:space="preserve">HANOVER                                </t>
  </si>
  <si>
    <t xml:space="preserve">COVENANT ADMINISTRATORS                           </t>
  </si>
  <si>
    <t xml:space="preserve">P.O. BOX 105738                                   </t>
  </si>
  <si>
    <t xml:space="preserve">X0S  </t>
  </si>
  <si>
    <t xml:space="preserve">BLUE CROSS &amp; BLUE SHIELD OF NEW JERSEY, INC.      </t>
  </si>
  <si>
    <t xml:space="preserve">P O BOX 1938                                      </t>
  </si>
  <si>
    <t xml:space="preserve">NEWARK                                 </t>
  </si>
  <si>
    <t>NJ</t>
  </si>
  <si>
    <t xml:space="preserve">AKA HORIZON BCBS OF NEW JERSEY                                                                                                              </t>
  </si>
  <si>
    <t xml:space="preserve">X1V  </t>
  </si>
  <si>
    <t xml:space="preserve">BLUE CROSS &amp; BLUE SHIELD OF COLORADO              </t>
  </si>
  <si>
    <t xml:space="preserve">DENVER                                 </t>
  </si>
  <si>
    <t>CO</t>
  </si>
  <si>
    <t xml:space="preserve">MEDICAID-OUT-OF-STATE                             </t>
  </si>
  <si>
    <t xml:space="preserve">WILLSE &amp; ASSOCIATES, INC.                         </t>
  </si>
  <si>
    <t xml:space="preserve">P O BOX 1196                                      </t>
  </si>
  <si>
    <t xml:space="preserve">STATE FARM INSURANCE COMPANIES                    </t>
  </si>
  <si>
    <t xml:space="preserve">WINTERHAVEN,                           </t>
  </si>
  <si>
    <t>FL</t>
  </si>
  <si>
    <t xml:space="preserve">AMERICAN BENEFIT PLAN ADMINISTRATOR               </t>
  </si>
  <si>
    <t xml:space="preserve">JACKSONVILLE                           </t>
  </si>
  <si>
    <t xml:space="preserve">A35  </t>
  </si>
  <si>
    <t xml:space="preserve">FABRI-KAL CORPORATION                             </t>
  </si>
  <si>
    <t xml:space="preserve">POST OFFICE DRAWER C                              </t>
  </si>
  <si>
    <t xml:space="preserve">PIEDMONT                               </t>
  </si>
  <si>
    <t xml:space="preserve">LOOMIS INSURANCE COMPANY                          </t>
  </si>
  <si>
    <t xml:space="preserve">P O BOX 7011                                      </t>
  </si>
  <si>
    <t xml:space="preserve">WYOMISSING                             </t>
  </si>
  <si>
    <t xml:space="preserve">X2J  </t>
  </si>
  <si>
    <t xml:space="preserve">BLUE CROSS &amp; BLUE SHIELD OF NORTH DAKOTA          </t>
  </si>
  <si>
    <t xml:space="preserve">FARGO                                  </t>
  </si>
  <si>
    <t>ND</t>
  </si>
  <si>
    <t xml:space="preserve">A27  </t>
  </si>
  <si>
    <t xml:space="preserve">HEALTHCARE SUPPORT                                </t>
  </si>
  <si>
    <t xml:space="preserve">BROOKLYN HEIGHTS                       </t>
  </si>
  <si>
    <t xml:space="preserve">KANAWHA LIFE INSURANCE COMPANY                    </t>
  </si>
  <si>
    <t xml:space="preserve">POST OFFICE BOX 6000                              </t>
  </si>
  <si>
    <t xml:space="preserve">C74  </t>
  </si>
  <si>
    <t xml:space="preserve">NATIONAL CLAIMS ADMINISTRATIVE SERVICES           </t>
  </si>
  <si>
    <t xml:space="preserve">P O BOX 981610                                    </t>
  </si>
  <si>
    <t xml:space="preserve">EL PASO                                </t>
  </si>
  <si>
    <t xml:space="preserve">STERLING LIFE INSURANCE                           </t>
  </si>
  <si>
    <t xml:space="preserve">P.O. BOX 5348                                     </t>
  </si>
  <si>
    <t xml:space="preserve">BELLINGHAM                             </t>
  </si>
  <si>
    <t>WA</t>
  </si>
  <si>
    <t xml:space="preserve">NATIONAL PHARMACEUTICAL SERVICES                  </t>
  </si>
  <si>
    <t xml:space="preserve">P.O. BOX 407                                      </t>
  </si>
  <si>
    <t xml:space="preserve">BOYSTOWN                               </t>
  </si>
  <si>
    <t>NE</t>
  </si>
  <si>
    <t xml:space="preserve">INSURANCE SERVICE AND BENEFITS                    </t>
  </si>
  <si>
    <t xml:space="preserve">MESQUITE                               </t>
  </si>
  <si>
    <t xml:space="preserve">COLLETON COUNTY                                   </t>
  </si>
  <si>
    <t xml:space="preserve">ANTHEM HEALTH                                     </t>
  </si>
  <si>
    <t xml:space="preserve">DULUTH                                 </t>
  </si>
  <si>
    <t xml:space="preserve">X0N  </t>
  </si>
  <si>
    <t xml:space="preserve">BLUE CROSS AND BLUE SHIELD OF TEXAS               </t>
  </si>
  <si>
    <t xml:space="preserve">P O BOX 660044                                    </t>
  </si>
  <si>
    <t xml:space="preserve">DALLAS                                 </t>
  </si>
  <si>
    <t xml:space="preserve">HEALTH ALLIANCE PLAN                              </t>
  </si>
  <si>
    <t xml:space="preserve">SELF INSURED PLANS LLC                            </t>
  </si>
  <si>
    <t xml:space="preserve">LOS ANGELES                            </t>
  </si>
  <si>
    <t xml:space="preserve">HCH ADMINISTRATORS                                </t>
  </si>
  <si>
    <t xml:space="preserve">P.O. BOX 1986                                     </t>
  </si>
  <si>
    <t xml:space="preserve">PEORIA                                 </t>
  </si>
  <si>
    <t xml:space="preserve">FAIRFIELD COUNTY                                  </t>
  </si>
  <si>
    <t xml:space="preserve">FIRST BENEFITS CORP                               </t>
  </si>
  <si>
    <t xml:space="preserve">P.O. BOX 879                                      </t>
  </si>
  <si>
    <t xml:space="preserve">B32  </t>
  </si>
  <si>
    <t xml:space="preserve">MAXCARE                                           </t>
  </si>
  <si>
    <t xml:space="preserve">P.O. BOX 18024                                    </t>
  </si>
  <si>
    <t xml:space="preserve">OKLAHOMA CITY                          </t>
  </si>
  <si>
    <t>OK</t>
  </si>
  <si>
    <t xml:space="preserve">A50  </t>
  </si>
  <si>
    <t xml:space="preserve">FEDERAL EMPLOYEES COMPENSATION ACT                </t>
  </si>
  <si>
    <t xml:space="preserve">P.O. BOX 8300                                     </t>
  </si>
  <si>
    <t xml:space="preserve">GERBER LIFE MEDICARE SUPPLEMENT                   </t>
  </si>
  <si>
    <t xml:space="preserve">P.O. BOX 2271                                     </t>
  </si>
  <si>
    <t xml:space="preserve">OMAHA                                  </t>
  </si>
  <si>
    <t xml:space="preserve">B52  </t>
  </si>
  <si>
    <t xml:space="preserve">SOUTHERN PLANNED ADMINISTRATORS                   </t>
  </si>
  <si>
    <t xml:space="preserve">P.O. BOX 218180                                   </t>
  </si>
  <si>
    <t xml:space="preserve">X3A  </t>
  </si>
  <si>
    <t xml:space="preserve">UNITED TEACHERS ASSO. INS. CO.                    </t>
  </si>
  <si>
    <t xml:space="preserve">P.O. BOX 30010                                    </t>
  </si>
  <si>
    <t xml:space="preserve">B11  </t>
  </si>
  <si>
    <t xml:space="preserve">CBCA ADMINISTRATORS, INC.                         </t>
  </si>
  <si>
    <t xml:space="preserve">P.O. BOX 1272                                     </t>
  </si>
  <si>
    <t xml:space="preserve">MINNEAPOLIS                            </t>
  </si>
  <si>
    <t>MN</t>
  </si>
  <si>
    <t xml:space="preserve">C05  </t>
  </si>
  <si>
    <t xml:space="preserve">STRATEGIC OUTSOURCING,  INC. (SOI)                </t>
  </si>
  <si>
    <t xml:space="preserve">P.O. BOX 241508                                   </t>
  </si>
  <si>
    <t xml:space="preserve">CHARLOTTE                              </t>
  </si>
  <si>
    <t xml:space="preserve">C19  </t>
  </si>
  <si>
    <t xml:space="preserve">TAYLOR BENEFIT RESOURCES, INC.                    </t>
  </si>
  <si>
    <t xml:space="preserve">P.O. BOX 6580                                     </t>
  </si>
  <si>
    <t xml:space="preserve">THOMASVILLE                            </t>
  </si>
  <si>
    <t xml:space="preserve">CATAMARAN                                         </t>
  </si>
  <si>
    <t xml:space="preserve">GREENWOOD VILLAGE                      </t>
  </si>
  <si>
    <t xml:space="preserve">FORMERLY HEALTH TRANS                                                                                                                       </t>
  </si>
  <si>
    <t xml:space="preserve">C64  </t>
  </si>
  <si>
    <t xml:space="preserve">BLUE CHOICE HEALTH PLAN (PPO)                     </t>
  </si>
  <si>
    <t xml:space="preserve">P.O. BOX 6170                                     </t>
  </si>
  <si>
    <t xml:space="preserve">MEDICARE ADVANTAGE (PPO)                                                                                                                    </t>
  </si>
  <si>
    <t xml:space="preserve">C96  </t>
  </si>
  <si>
    <t xml:space="preserve">MEDTRACK SERVICES                                 </t>
  </si>
  <si>
    <t xml:space="preserve">C87  </t>
  </si>
  <si>
    <t xml:space="preserve">SIHO INSURANCE SERVICES                           </t>
  </si>
  <si>
    <t xml:space="preserve">P.O. BOX 1787                                     </t>
  </si>
  <si>
    <t xml:space="preserve">COLUMBUS                               </t>
  </si>
  <si>
    <t xml:space="preserve">D25  </t>
  </si>
  <si>
    <t xml:space="preserve">ELDER PLAN, INC. (HMO)                            </t>
  </si>
  <si>
    <t xml:space="preserve">P.O. BOX 199100                                   </t>
  </si>
  <si>
    <t xml:space="preserve">BROOKLYN                               </t>
  </si>
  <si>
    <t xml:space="preserve">MEDICARE ADVANTAGE                                                                                                                          </t>
  </si>
  <si>
    <t xml:space="preserve">X01  </t>
  </si>
  <si>
    <t xml:space="preserve">P O BOX 14115                                     </t>
  </si>
  <si>
    <t xml:space="preserve">C65  </t>
  </si>
  <si>
    <t xml:space="preserve">SIMPLIFI                                          </t>
  </si>
  <si>
    <t xml:space="preserve">P.O. BOX 1339                                     </t>
  </si>
  <si>
    <t xml:space="preserve">FORMELY CBCA ADMINISTRATORS                                                                                                                 </t>
  </si>
  <si>
    <t xml:space="preserve">INSURANCE MANAGEMENT ADMINISTRATORS (IMA)         </t>
  </si>
  <si>
    <t xml:space="preserve">P.O. BOX 71120                                    </t>
  </si>
  <si>
    <t xml:space="preserve">BOSSIER CITY                           </t>
  </si>
  <si>
    <t xml:space="preserve">MEDICAL BENEFIT ADMINISTRATORS                    </t>
  </si>
  <si>
    <t xml:space="preserve">MADISON                                </t>
  </si>
  <si>
    <t xml:space="preserve">X1I  </t>
  </si>
  <si>
    <t xml:space="preserve">ARKANSAS BLUE CROSS AND BLUE SHIELD, INC          </t>
  </si>
  <si>
    <t xml:space="preserve">P O BOX 2181                                      </t>
  </si>
  <si>
    <t xml:space="preserve">LITTLE ROCK                            </t>
  </si>
  <si>
    <t>AR</t>
  </si>
  <si>
    <t xml:space="preserve">DILLON COUNTY                                     </t>
  </si>
  <si>
    <t xml:space="preserve">YODER BROTHERS                                    </t>
  </si>
  <si>
    <t xml:space="preserve">PENDLETON                              </t>
  </si>
  <si>
    <t xml:space="preserve">WORKMEN'S COMP                                    </t>
  </si>
  <si>
    <t xml:space="preserve">CONNECTICARE                                      </t>
  </si>
  <si>
    <t xml:space="preserve">P.O. BOX 4000                                     </t>
  </si>
  <si>
    <t xml:space="preserve">FARMINGTON                             </t>
  </si>
  <si>
    <t>CT</t>
  </si>
  <si>
    <t xml:space="preserve">HEWITT COLEMAN AND ASSOCIATES                     </t>
  </si>
  <si>
    <t xml:space="preserve">P O BOX 6708                                      </t>
  </si>
  <si>
    <t xml:space="preserve">COVENTRY HEALTHCARE OF KANSAS                     </t>
  </si>
  <si>
    <t xml:space="preserve">P O BOX 7109                                      </t>
  </si>
  <si>
    <t xml:space="preserve">WASHINGTON NATIONAL INSURANCE COMPANY             </t>
  </si>
  <si>
    <t xml:space="preserve">P.O. BOX 1934                                     </t>
  </si>
  <si>
    <t xml:space="preserve">DES PLAINES                            </t>
  </si>
  <si>
    <t xml:space="preserve">PREFERRED HEALTH PLAN OF THE CAROLINAS            </t>
  </si>
  <si>
    <t xml:space="preserve">P.O, BOX 220397                                   </t>
  </si>
  <si>
    <t xml:space="preserve">ALLENDALE COUNTY                                  </t>
  </si>
  <si>
    <t xml:space="preserve">MORRIS ASSOCIATES                                 </t>
  </si>
  <si>
    <t xml:space="preserve">P.O. BOX 50440                                    </t>
  </si>
  <si>
    <t xml:space="preserve">OTHER INDIGENT (HOSPITAL CHARITY)                 </t>
  </si>
  <si>
    <t>C47DN</t>
  </si>
  <si>
    <t xml:space="preserve">KANAWHA BENEFIT SERVICES                          </t>
  </si>
  <si>
    <t xml:space="preserve">P O BOX 50098                                     </t>
  </si>
  <si>
    <t xml:space="preserve">KNOXVILLE                              </t>
  </si>
  <si>
    <t>TN</t>
  </si>
  <si>
    <t>C92DN</t>
  </si>
  <si>
    <t xml:space="preserve">AMERICAN HEALTH CARE                              </t>
  </si>
  <si>
    <t xml:space="preserve">ROSEVILLE                              </t>
  </si>
  <si>
    <t xml:space="preserve">D46  </t>
  </si>
  <si>
    <t xml:space="preserve">GROUPHEALTH OPTIONS, INC                          </t>
  </si>
  <si>
    <t xml:space="preserve">P.O. BOX 34585                                    </t>
  </si>
  <si>
    <t xml:space="preserve">SEATTLE                                </t>
  </si>
  <si>
    <t xml:space="preserve">D56  </t>
  </si>
  <si>
    <t xml:space="preserve">CITRUS HEALTH CARE, INC.                          </t>
  </si>
  <si>
    <t xml:space="preserve">P.O. BOX 20547                                    </t>
  </si>
  <si>
    <t xml:space="preserve">TAMPA                                  </t>
  </si>
  <si>
    <t xml:space="preserve">D17  </t>
  </si>
  <si>
    <t xml:space="preserve">WELLCARE                                          </t>
  </si>
  <si>
    <t xml:space="preserve">P.O. BOX 795184                                   </t>
  </si>
  <si>
    <t xml:space="preserve">SAN ANTONIO                            </t>
  </si>
  <si>
    <t xml:space="preserve">MOUNTAIN CLAIMS MANAGEMENT                        </t>
  </si>
  <si>
    <t xml:space="preserve">P.O. BOX 1008                                     </t>
  </si>
  <si>
    <t xml:space="preserve">FRUITLAND                              </t>
  </si>
  <si>
    <t>ID</t>
  </si>
  <si>
    <t xml:space="preserve">X2B  </t>
  </si>
  <si>
    <t xml:space="preserve">BLUE CROSS &amp; BLUE SHIELD OF KANSAS CITY           </t>
  </si>
  <si>
    <t xml:space="preserve">P O BOX 419169                                    </t>
  </si>
  <si>
    <t xml:space="preserve">X1M  </t>
  </si>
  <si>
    <t xml:space="preserve">BLUE CROSS &amp; BLUE SHIELD OF KANSAS                </t>
  </si>
  <si>
    <t xml:space="preserve">TOPEKA                                 </t>
  </si>
  <si>
    <t xml:space="preserve">ENVISION RX OPTIONS                               </t>
  </si>
  <si>
    <t xml:space="preserve">TWINSBURG                              </t>
  </si>
  <si>
    <t xml:space="preserve">MHNET BEHAVIORAL HEALTH                           </t>
  </si>
  <si>
    <t xml:space="preserve">P.O. BOX 7802                                     </t>
  </si>
  <si>
    <t xml:space="preserve">A42  </t>
  </si>
  <si>
    <t xml:space="preserve">PRIMERICA LIFE INSURANCE COMPANY                  </t>
  </si>
  <si>
    <t xml:space="preserve">PRECISE BENEFIT ADMINISTRATORS                    </t>
  </si>
  <si>
    <t xml:space="preserve">P.O. BOX 9064                                     </t>
  </si>
  <si>
    <t xml:space="preserve">JERICHO                                </t>
  </si>
  <si>
    <t xml:space="preserve">CORPORATE BENEFIT SOLUTIONS, INC.                 </t>
  </si>
  <si>
    <t xml:space="preserve">P.O. BOX 8215                                     </t>
  </si>
  <si>
    <t xml:space="preserve">AMERICAN INTERNATIONAL GROUP (AIG) ACCIDENT       </t>
  </si>
  <si>
    <t xml:space="preserve">P.O. BOX 3726                                     </t>
  </si>
  <si>
    <t xml:space="preserve">CINERGY HEALTH INS.                               </t>
  </si>
  <si>
    <t xml:space="preserve">PLANTATION                             </t>
  </si>
  <si>
    <t xml:space="preserve">HEALTHSMART                                       </t>
  </si>
  <si>
    <t xml:space="preserve">P.O. BOX 2801                                     </t>
  </si>
  <si>
    <t xml:space="preserve">CHARLESTON                             </t>
  </si>
  <si>
    <t>WV</t>
  </si>
  <si>
    <t xml:space="preserve">B70  </t>
  </si>
  <si>
    <t xml:space="preserve">DECARE DENTAL                                     </t>
  </si>
  <si>
    <t xml:space="preserve">P.O. BOX 1348                                     </t>
  </si>
  <si>
    <t xml:space="preserve">NATIONAL FINANCIAL COMPANY                        </t>
  </si>
  <si>
    <t xml:space="preserve">FT WORTH                               </t>
  </si>
  <si>
    <t xml:space="preserve">AMERICAN STERLING INSURANCE SERVICES              </t>
  </si>
  <si>
    <t xml:space="preserve">P.O. BOX 26103                                    </t>
  </si>
  <si>
    <t xml:space="preserve">KAISER FOUNDATION HEALTH PLAN OF SOUTHERN CA.     </t>
  </si>
  <si>
    <t xml:space="preserve">P.O. BOX 7004                                     </t>
  </si>
  <si>
    <t xml:space="preserve">DOWNEY                                 </t>
  </si>
  <si>
    <t xml:space="preserve">UMR                                               </t>
  </si>
  <si>
    <t xml:space="preserve">P.O. BOX 30541                                    </t>
  </si>
  <si>
    <t xml:space="preserve">C04  </t>
  </si>
  <si>
    <t xml:space="preserve">MOTOR CITY WELFARE FUND                           </t>
  </si>
  <si>
    <t xml:space="preserve">TROY                                   </t>
  </si>
  <si>
    <t xml:space="preserve">X2A  </t>
  </si>
  <si>
    <t xml:space="preserve">WELLMARK BLUE CROSS BLUE SHIELD OF IOWA           </t>
  </si>
  <si>
    <t xml:space="preserve">P O BOX 5023                                      </t>
  </si>
  <si>
    <t xml:space="preserve">SIOUX FALLS                            </t>
  </si>
  <si>
    <t>SD</t>
  </si>
  <si>
    <t xml:space="preserve">X1E  </t>
  </si>
  <si>
    <t xml:space="preserve">BLUE CROSS OF PUERTO RICO                         </t>
  </si>
  <si>
    <t xml:space="preserve">P.O. BOX 366068                                   </t>
  </si>
  <si>
    <t xml:space="preserve">SAN JUAN                               </t>
  </si>
  <si>
    <t>PR</t>
  </si>
  <si>
    <t xml:space="preserve">B10  </t>
  </si>
  <si>
    <t xml:space="preserve">PILGRIM HEALTH &amp; LIFE INSURANCE                   </t>
  </si>
  <si>
    <t xml:space="preserve">POST OFFICE BOX 897                               </t>
  </si>
  <si>
    <t xml:space="preserve">X0P  </t>
  </si>
  <si>
    <t xml:space="preserve">BLUE CROSS &amp; BLUE SHIELD OF TENNESSEE             </t>
  </si>
  <si>
    <t xml:space="preserve">CHATTANOOGA                            </t>
  </si>
  <si>
    <t xml:space="preserve">GEORGETOWN COUNTY                                 </t>
  </si>
  <si>
    <t xml:space="preserve">B62  </t>
  </si>
  <si>
    <t xml:space="preserve">LIBERTY DENTAL                                    </t>
  </si>
  <si>
    <t xml:space="preserve">P.O. BOX 26110                                    </t>
  </si>
  <si>
    <t xml:space="preserve">SANTA ANNA                             </t>
  </si>
  <si>
    <t xml:space="preserve">FEDERATED MUTUAL INSURANCE COMPANY (REGIONAL)     </t>
  </si>
  <si>
    <t xml:space="preserve">P.O. BOS 31716                                    </t>
  </si>
  <si>
    <t xml:space="preserve">MAMSI LIFE AND HEALTH INSURANCE CO                </t>
  </si>
  <si>
    <t xml:space="preserve">P.O. BOX 993                                      </t>
  </si>
  <si>
    <t xml:space="preserve">FREDRICKS                              </t>
  </si>
  <si>
    <t xml:space="preserve">B43  </t>
  </si>
  <si>
    <t xml:space="preserve">AFFINITY HEALTH PLAN                              </t>
  </si>
  <si>
    <t xml:space="preserve">P.O. BOX 981726                                   </t>
  </si>
  <si>
    <t xml:space="preserve">SAFECO INSURANCE COMPANY                          </t>
  </si>
  <si>
    <t xml:space="preserve">P.O. BOX 34699                                    </t>
  </si>
  <si>
    <t xml:space="preserve">REDMOND,                               </t>
  </si>
  <si>
    <t xml:space="preserve">NAT'L ASBESTOS WORKERS MED FUND                   </t>
  </si>
  <si>
    <t xml:space="preserve">BELTSVILLE                             </t>
  </si>
  <si>
    <t xml:space="preserve">MONUMENTAL GENERAL INSURANCE COMPANY              </t>
  </si>
  <si>
    <t xml:space="preserve">C48  </t>
  </si>
  <si>
    <t xml:space="preserve">SOUTHERN ADMINISTRATIVE SERVICES                  </t>
  </si>
  <si>
    <t xml:space="preserve">P O BOX 8069                                      </t>
  </si>
  <si>
    <t xml:space="preserve">X1S  </t>
  </si>
  <si>
    <t xml:space="preserve">COMMUNITY MUTUAL INSURANCE COMPANY                </t>
  </si>
  <si>
    <t xml:space="preserve">CINCINNATI                             </t>
  </si>
  <si>
    <t xml:space="preserve">X1T  </t>
  </si>
  <si>
    <t xml:space="preserve">ROYAL NEIGHBORS OF AMERICA                        </t>
  </si>
  <si>
    <t xml:space="preserve">P.O. BOX 10850                                    </t>
  </si>
  <si>
    <t xml:space="preserve">CLEARWATER                             </t>
  </si>
  <si>
    <t xml:space="preserve">WELLMARK ADMINISTRATORS                           </t>
  </si>
  <si>
    <t xml:space="preserve">P.O. BOX 9901                                     </t>
  </si>
  <si>
    <t xml:space="preserve">SIOUX CITY                             </t>
  </si>
  <si>
    <t>IO</t>
  </si>
  <si>
    <t xml:space="preserve">HEALTH CARE CREDIT UNION ASSOC. HCCUA             </t>
  </si>
  <si>
    <t xml:space="preserve">P.O. BOX 260957                                   </t>
  </si>
  <si>
    <t xml:space="preserve">PLANT                                  </t>
  </si>
  <si>
    <t xml:space="preserve">A74  </t>
  </si>
  <si>
    <t xml:space="preserve">FIRST CAROLINA CARE, INC.                         </t>
  </si>
  <si>
    <t xml:space="preserve">P.O. BOX 381686                                   </t>
  </si>
  <si>
    <t xml:space="preserve">BIRMINGHAM                             </t>
  </si>
  <si>
    <t>AL</t>
  </si>
  <si>
    <t xml:space="preserve">A75  </t>
  </si>
  <si>
    <t xml:space="preserve">HEALTH COST SOLUTIONS                             </t>
  </si>
  <si>
    <t xml:space="preserve">P.O. BOX 1439                                     </t>
  </si>
  <si>
    <t xml:space="preserve">HENDERSONVILLE                         </t>
  </si>
  <si>
    <t xml:space="preserve">WAS LIFECARE CENTERS OF AMERICA                                                                                                             </t>
  </si>
  <si>
    <t xml:space="preserve">A92  </t>
  </si>
  <si>
    <t xml:space="preserve">PROVIDENT AMERICAN LIFE &amp; HEALTH INS.             </t>
  </si>
  <si>
    <t xml:space="preserve">P.O. BOX 29158                                    </t>
  </si>
  <si>
    <t xml:space="preserve">SHAWNEE MISSION                        </t>
  </si>
  <si>
    <t xml:space="preserve">A94  </t>
  </si>
  <si>
    <t xml:space="preserve">FORETHOUGHT LIFE INSURANCE COMPANY                </t>
  </si>
  <si>
    <t xml:space="preserve">P.O. BOX 981721                                   </t>
  </si>
  <si>
    <t xml:space="preserve">BLUE CHARE NETWORK OF MI                          </t>
  </si>
  <si>
    <t xml:space="preserve">P.O. BOX 68710                                    </t>
  </si>
  <si>
    <t xml:space="preserve">GRAND RAPID                            </t>
  </si>
  <si>
    <t xml:space="preserve">CODE ASSIGNED BY SCHA.  THIS IS THE HMO TO CC 504 WHICH IS THE POS                                                                          </t>
  </si>
  <si>
    <t xml:space="preserve">E38  </t>
  </si>
  <si>
    <t xml:space="preserve">UNISON HEALTH PLAN                                </t>
  </si>
  <si>
    <t xml:space="preserve">HEALTHY KIDS CONNECTION                                                                                                                     </t>
  </si>
  <si>
    <t xml:space="preserve">E55  </t>
  </si>
  <si>
    <t xml:space="preserve">TOTAL CAROLINA CARE INC.                          </t>
  </si>
  <si>
    <t>X0BDN</t>
  </si>
  <si>
    <t xml:space="preserve">BCBS OF GEORGIA DENTAL                            </t>
  </si>
  <si>
    <t xml:space="preserve">P.O. BOX 659444                                   </t>
  </si>
  <si>
    <t>X1YDN</t>
  </si>
  <si>
    <t xml:space="preserve">BLUE SHEILD OF CALIFORNIA                         </t>
  </si>
  <si>
    <t xml:space="preserve">P.O. BOX 272590                                   </t>
  </si>
  <si>
    <t xml:space="preserve">UNION FIDELITY INSURANCE COMPANY                  </t>
  </si>
  <si>
    <t xml:space="preserve">TREVOSE                                </t>
  </si>
  <si>
    <t xml:space="preserve">ATLANTA ADMINISTRATIONS                           </t>
  </si>
  <si>
    <t xml:space="preserve">WALTHAM                                </t>
  </si>
  <si>
    <t>MA</t>
  </si>
  <si>
    <t xml:space="preserve">NATIONAL HEALTH INSURANCE COMPANY                 </t>
  </si>
  <si>
    <t xml:space="preserve">P O BOX 619999                                    </t>
  </si>
  <si>
    <t xml:space="preserve">DALLAS/FORT WORTH AIRPORT              </t>
  </si>
  <si>
    <t xml:space="preserve">TDI MANAGED CARE SERVICES                         </t>
  </si>
  <si>
    <t xml:space="preserve">PITTSBURG                              </t>
  </si>
  <si>
    <t xml:space="preserve">CARRIER BOUGHT OUT BY PHARMACARE CC 740                                                                                                     </t>
  </si>
  <si>
    <t xml:space="preserve">HEALTH PLAN SERVICES (COVENTRY HEALTH CARE)       </t>
  </si>
  <si>
    <t xml:space="preserve">P.O. BOX 24146                                    </t>
  </si>
  <si>
    <t xml:space="preserve">C35  </t>
  </si>
  <si>
    <t xml:space="preserve">MUTUAL PROTECTIVE MEDICO LIFE INSURANCE COMPANIES </t>
  </si>
  <si>
    <t xml:space="preserve">SEE CODE C99                                                                                                                                </t>
  </si>
  <si>
    <t xml:space="preserve">POLY AMERICA LP                                   </t>
  </si>
  <si>
    <t xml:space="preserve">GRAND PRAIRIE                          </t>
  </si>
  <si>
    <t xml:space="preserve">INTEGRITAS BENEFIT GROUP                          </t>
  </si>
  <si>
    <t xml:space="preserve">P O BOX 1447                                      </t>
  </si>
  <si>
    <t xml:space="preserve">CORDOVA                                </t>
  </si>
  <si>
    <t xml:space="preserve">EMPLOYEE BENEFIT MANAGEMENT SERVICES              </t>
  </si>
  <si>
    <t xml:space="preserve">P.O. BOX 21367                                    </t>
  </si>
  <si>
    <t xml:space="preserve">BILLINGS                               </t>
  </si>
  <si>
    <t>MT</t>
  </si>
  <si>
    <t xml:space="preserve">AMERICAN HEALTH &amp; LIFE INSURANCE                  </t>
  </si>
  <si>
    <t xml:space="preserve">GROUP INSURANCE ADMINISTRATION INC                </t>
  </si>
  <si>
    <t xml:space="preserve">B77  </t>
  </si>
  <si>
    <t xml:space="preserve">UNITED HEALTHCARE PLAN ADMINISTRATORS             </t>
  </si>
  <si>
    <t xml:space="preserve">P O BOX 121212                                    </t>
  </si>
  <si>
    <t xml:space="preserve">MARIETTA                               </t>
  </si>
  <si>
    <t xml:space="preserve">USE CODE 985 BENESIGHT                                                                                                                      </t>
  </si>
  <si>
    <t xml:space="preserve">B54  </t>
  </si>
  <si>
    <t xml:space="preserve">NGS AMERICAN INC                                  </t>
  </si>
  <si>
    <t xml:space="preserve">POST OFFICE BOX 7676                              </t>
  </si>
  <si>
    <t xml:space="preserve">ST. CLAIR SHORES                       </t>
  </si>
  <si>
    <t xml:space="preserve">TRAVELERS INSURANCE COMPANY                       </t>
  </si>
  <si>
    <t xml:space="preserve">P O BOX 473500                                    </t>
  </si>
  <si>
    <t xml:space="preserve">USE CODE 113  UNITED HEALTHCARE  INACTIVE 8-02                                                                                              </t>
  </si>
  <si>
    <t xml:space="preserve">A09  </t>
  </si>
  <si>
    <t xml:space="preserve">RX AMERICA                                        </t>
  </si>
  <si>
    <t xml:space="preserve">NORTH AMERICA ADMINISTRATORS                      </t>
  </si>
  <si>
    <t xml:space="preserve">P O BOX 1984                                      </t>
  </si>
  <si>
    <t xml:space="preserve">NASHVILLE                              </t>
  </si>
  <si>
    <t xml:space="preserve">LAMAR LIFE INSURANCE COMPANY                      </t>
  </si>
  <si>
    <t xml:space="preserve">POST OFFICE BOX 880                               </t>
  </si>
  <si>
    <t xml:space="preserve">JACKSON                                </t>
  </si>
  <si>
    <t>MS</t>
  </si>
  <si>
    <t xml:space="preserve">COMMON WEALTH BENEFIT ADMINISTRATORS              </t>
  </si>
  <si>
    <t xml:space="preserve">ASHLAND                                </t>
  </si>
  <si>
    <t>VA</t>
  </si>
  <si>
    <t xml:space="preserve">RESTAT                                            </t>
  </si>
  <si>
    <t xml:space="preserve">MILWAUKEE                              </t>
  </si>
  <si>
    <t xml:space="preserve">RISK BENEFIT MANAGEMENT SERVICES, LLC (RBMS)      </t>
  </si>
  <si>
    <t xml:space="preserve">P.O. BOX 241569                                   </t>
  </si>
  <si>
    <t xml:space="preserve">ANCHORAGE                              </t>
  </si>
  <si>
    <t>AK</t>
  </si>
  <si>
    <t xml:space="preserve">SELF FUNDED GROUP INSURANCE ADMINISTRATORS        </t>
  </si>
  <si>
    <t xml:space="preserve">P O BOX 1719                                      </t>
  </si>
  <si>
    <t xml:space="preserve">KALAMAZOO                              </t>
  </si>
  <si>
    <t xml:space="preserve">C39  </t>
  </si>
  <si>
    <t xml:space="preserve">CONTINENTAL GENERAL INSURANCE COMPANY             </t>
  </si>
  <si>
    <t xml:space="preserve">P.O. BOX 247007                                   </t>
  </si>
  <si>
    <t xml:space="preserve">X2F  </t>
  </si>
  <si>
    <t xml:space="preserve">BLUE CROSS AND BLUE SHIELD OF THE ROCHESTER AREA  </t>
  </si>
  <si>
    <t xml:space="preserve">P.O. BOX 22999                                    </t>
  </si>
  <si>
    <t xml:space="preserve">ROCHESTER                              </t>
  </si>
  <si>
    <t xml:space="preserve">X0H  </t>
  </si>
  <si>
    <t xml:space="preserve">BLUE CROSS &amp; BLUE SHIELD UNITED OF WISCONSIN      </t>
  </si>
  <si>
    <t xml:space="preserve">P O BOX 2025                                      </t>
  </si>
  <si>
    <t xml:space="preserve">FLORENCE COUNTY                                   </t>
  </si>
  <si>
    <t xml:space="preserve">B71  </t>
  </si>
  <si>
    <t xml:space="preserve">CHCS SERVICES, INC.                               </t>
  </si>
  <si>
    <t xml:space="preserve">P.O. BOX 12467                                    </t>
  </si>
  <si>
    <t xml:space="preserve">PENSACOLA                              </t>
  </si>
  <si>
    <t xml:space="preserve">BENEFIT SYSTEMS INC                               </t>
  </si>
  <si>
    <t xml:space="preserve">P O BOX 6001                                      </t>
  </si>
  <si>
    <t xml:space="preserve">BLUE CROSS ANTHEM MEDICARE ADVANTAGE              </t>
  </si>
  <si>
    <t xml:space="preserve">NEWBURY PARK                           </t>
  </si>
  <si>
    <t xml:space="preserve">SELECT HEALTH/FIRST CHOICE                        </t>
  </si>
  <si>
    <t xml:space="preserve">P.O. BOX 7120                                     </t>
  </si>
  <si>
    <t xml:space="preserve">MEDICAID HMO                                                                                                                                </t>
  </si>
  <si>
    <t xml:space="preserve">ADOVA HEALTH                                      </t>
  </si>
  <si>
    <t xml:space="preserve">P.O. BOX 725549                                   </t>
  </si>
  <si>
    <t xml:space="preserve">X0W  </t>
  </si>
  <si>
    <t xml:space="preserve">BLUE CROSS OF CALIFORNIA                          </t>
  </si>
  <si>
    <t xml:space="preserve">P.O. BOX 60007                                    </t>
  </si>
  <si>
    <t xml:space="preserve">HEALTHNET                                         </t>
  </si>
  <si>
    <t xml:space="preserve">P.O. BXO 2226                                     </t>
  </si>
  <si>
    <t xml:space="preserve">AUGUSTA                                </t>
  </si>
  <si>
    <t xml:space="preserve">HEALTH AMERICA                                    </t>
  </si>
  <si>
    <t xml:space="preserve">P.O. BOX 7089                                     </t>
  </si>
  <si>
    <t xml:space="preserve">A86  </t>
  </si>
  <si>
    <t xml:space="preserve">BENEFIT MANAGEMENT CO                             </t>
  </si>
  <si>
    <t xml:space="preserve">P.O. BOX 269000                                   </t>
  </si>
  <si>
    <t xml:space="preserve">WESTON                                 </t>
  </si>
  <si>
    <t xml:space="preserve">NEW JERSERY CARPENTERS                            </t>
  </si>
  <si>
    <t xml:space="preserve">P.O. BOX 7818                                     </t>
  </si>
  <si>
    <t xml:space="preserve">EDISON                                 </t>
  </si>
  <si>
    <t xml:space="preserve">CIGNA-MEDICARE                                    </t>
  </si>
  <si>
    <t xml:space="preserve">P.O. BOX 671                                      </t>
  </si>
  <si>
    <t xml:space="preserve">MEDICARE INTERMEDIARY                                                                                                                       </t>
  </si>
  <si>
    <t xml:space="preserve">INSURANCE &amp; BENEFIT ADVOCATE, INC.                </t>
  </si>
  <si>
    <t xml:space="preserve">SOUTH BEND                             </t>
  </si>
  <si>
    <t xml:space="preserve">CODE NOT REQUESTED BY MEDICAID.  SCHA ASSIGNED                                                                                              </t>
  </si>
  <si>
    <t xml:space="preserve">MVP HEALTH CARE                                   </t>
  </si>
  <si>
    <t xml:space="preserve">P.O. BOX 1434                                     </t>
  </si>
  <si>
    <t xml:space="preserve">SCHENECTADY                            </t>
  </si>
  <si>
    <t xml:space="preserve">NAME CHANGE ONLY 4/09.  WAS PERFERRED CARE                                                                                                  </t>
  </si>
  <si>
    <t xml:space="preserve">OXFORD HEALTH PLANS                               </t>
  </si>
  <si>
    <t xml:space="preserve">P.O. BOX 2083                                     </t>
  </si>
  <si>
    <t xml:space="preserve">NASHUA                                 </t>
  </si>
  <si>
    <t>NH</t>
  </si>
  <si>
    <t xml:space="preserve">B81  </t>
  </si>
  <si>
    <t xml:space="preserve">HM BENEFITS ADMINISTRATORS, INC.                  </t>
  </si>
  <si>
    <t xml:space="preserve">P.O. BOX 535078                                   </t>
  </si>
  <si>
    <t xml:space="preserve">PITTSBURGH                             </t>
  </si>
  <si>
    <t xml:space="preserve">C98  </t>
  </si>
  <si>
    <t xml:space="preserve">MEDICAL BENEFIT ADM. OF MARYLAND, INC.            </t>
  </si>
  <si>
    <t xml:space="preserve">P.O .BOX 950                                      </t>
  </si>
  <si>
    <t xml:space="preserve">FORREST HILL                           </t>
  </si>
  <si>
    <t xml:space="preserve">D26  </t>
  </si>
  <si>
    <t xml:space="preserve">OXFORD MEDICARE ADVANTAGE (HMO)                   </t>
  </si>
  <si>
    <t xml:space="preserve">P.O. BOX 7082                                     </t>
  </si>
  <si>
    <t xml:space="preserve">BRIDGEPORT                             </t>
  </si>
  <si>
    <t xml:space="preserve">D12  </t>
  </si>
  <si>
    <t xml:space="preserve">SECUREHORIZONS DIRECT PFFS                        </t>
  </si>
  <si>
    <t xml:space="preserve">P.O. BOX 12466                                    </t>
  </si>
  <si>
    <t>C94DN</t>
  </si>
  <si>
    <t xml:space="preserve">ERIN GROUP ADMINISTRATORS                         </t>
  </si>
  <si>
    <t xml:space="preserve">P.O. BOX 7777                                     </t>
  </si>
  <si>
    <t xml:space="preserve">ANOTHER PHONE NUMBER 717-581-1300                                                                                                           </t>
  </si>
  <si>
    <t xml:space="preserve">D18  </t>
  </si>
  <si>
    <t xml:space="preserve">COMMUNITY CARE SENIOR HEALTH PLAN                 </t>
  </si>
  <si>
    <t xml:space="preserve">P. O. BOX 3249                                    </t>
  </si>
  <si>
    <t xml:space="preserve">TULSA                                  </t>
  </si>
  <si>
    <t xml:space="preserve">UNIFIED GROUP SERVICES                            </t>
  </si>
  <si>
    <t xml:space="preserve">P.O. BOX 10                                       </t>
  </si>
  <si>
    <t xml:space="preserve">A19  </t>
  </si>
  <si>
    <t xml:space="preserve">ISLAND GROUP ADMINISTRATION, INC`                 </t>
  </si>
  <si>
    <t xml:space="preserve">EAST HAMPTON                           </t>
  </si>
  <si>
    <t xml:space="preserve">FLORIDA HOSPITAL HEALTHCARE SYSTEM                </t>
  </si>
  <si>
    <t xml:space="preserve">P.O. BOX 536847                                   </t>
  </si>
  <si>
    <t xml:space="preserve">ORLANDO                                </t>
  </si>
  <si>
    <t xml:space="preserve">TRANSAMERICA OCCIDENTAL LIFE                      </t>
  </si>
  <si>
    <t xml:space="preserve">POST OFFICE BOX 2101  TERMINAL ANNEX              </t>
  </si>
  <si>
    <t xml:space="preserve">A03  </t>
  </si>
  <si>
    <t xml:space="preserve">STARMARK                                          </t>
  </si>
  <si>
    <t xml:space="preserve">P O BOX 2942                                      </t>
  </si>
  <si>
    <t xml:space="preserve">CLINTON                                </t>
  </si>
  <si>
    <t>IA</t>
  </si>
  <si>
    <t xml:space="preserve">THIS CARRIER HANDLES GROUPS WITH LESS THAN 50 EMPLOYEES. SEE CC212 FFOR GROUPS OVER 50 EMPLOYEES.                                           </t>
  </si>
  <si>
    <t xml:space="preserve">B26  </t>
  </si>
  <si>
    <t xml:space="preserve">IMSCO HEALTH PLAN                                 </t>
  </si>
  <si>
    <t xml:space="preserve">P.O. BOX 697                                      </t>
  </si>
  <si>
    <t xml:space="preserve">BUCKEYSTOWN                            </t>
  </si>
  <si>
    <t xml:space="preserve">IMSCO - INTERNATIONAL MANAGEMENT SERVICE CO.                                                                                                </t>
  </si>
  <si>
    <t xml:space="preserve">OPTIMED HEALTH PLAN                               </t>
  </si>
  <si>
    <t xml:space="preserve">NEWTOWN                                </t>
  </si>
  <si>
    <t xml:space="preserve">MOLINA HEALTHCARE OF OHIO                         </t>
  </si>
  <si>
    <t xml:space="preserve">P.O. BOX 22712                                    </t>
  </si>
  <si>
    <t xml:space="preserve">LONGBEACH                              </t>
  </si>
  <si>
    <t xml:space="preserve">CONTINENTAL LIFE INS. OF TENNESSEE                </t>
  </si>
  <si>
    <t xml:space="preserve">P.O. BOX 1188                                     </t>
  </si>
  <si>
    <t xml:space="preserve">BRENTWOOD                              </t>
  </si>
  <si>
    <t xml:space="preserve">A40  </t>
  </si>
  <si>
    <t xml:space="preserve">STRATEGIC RESOURCE COMPANY                        </t>
  </si>
  <si>
    <t xml:space="preserve">PO BOX 14079                                      </t>
  </si>
  <si>
    <t xml:space="preserve">CASEBP (CATSKILL AREA SCHOOLS EMPLOYEE PLAN       </t>
  </si>
  <si>
    <t xml:space="preserve">P O BOX 220                                       </t>
  </si>
  <si>
    <t xml:space="preserve">STAMFORD                               </t>
  </si>
  <si>
    <t xml:space="preserve">PARAGON BENEFITS, INC.                            </t>
  </si>
  <si>
    <t xml:space="preserve">P.O. BOX 12288                                    </t>
  </si>
  <si>
    <t xml:space="preserve">HEALTHMARKETS CARE ASSURED                        </t>
  </si>
  <si>
    <t xml:space="preserve">P O BOX 69349                                     </t>
  </si>
  <si>
    <t xml:space="preserve">HARRISBURG                             </t>
  </si>
  <si>
    <t xml:space="preserve">PLANNED ADMINISTRATORS INC                        </t>
  </si>
  <si>
    <t xml:space="preserve">POST OFFICE BOX 6927                              </t>
  </si>
  <si>
    <t xml:space="preserve">CAROLINA HOSPITAL SYSTEMS BENEFIT PLAN            </t>
  </si>
  <si>
    <t xml:space="preserve">P.O. BOX 100569                                   </t>
  </si>
  <si>
    <t xml:space="preserve">FLORENCE                               </t>
  </si>
  <si>
    <t xml:space="preserve">BRIDGESTONE/FIRESTONE COMPANIES                   </t>
  </si>
  <si>
    <t xml:space="preserve">P.O. BOX 26605                                    </t>
  </si>
  <si>
    <t xml:space="preserve">MERCER ADMINISTRATION                             </t>
  </si>
  <si>
    <t xml:space="preserve">P.O. BOX 4546                                     </t>
  </si>
  <si>
    <t xml:space="preserve">IOWA CITY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</si>
</sst>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8"/>
  <sheetViews>
    <sheetView workbookViewId="0"/>
  </sheetViews>
  <sheetFormatPr defaultRowHeight="12" x14ac:dyDescent="0.25"/>
  <cols>
    <col min="1" max="1" width="13.21875" style="1" customWidth="1"/>
    <col min="2" max="2" width="38.33203125" style="1" customWidth="1"/>
    <col min="3" max="3" width="35.44140625" style="1" customWidth="1"/>
    <col min="4" max="4" width="24" style="1" customWidth="1"/>
    <col min="5" max="5" width="6.77734375" style="1" customWidth="1"/>
    <col min="6" max="6" width="10" style="1" bestFit="1" customWidth="1"/>
    <col min="7" max="7" width="11" style="1" bestFit="1" customWidth="1"/>
    <col min="8" max="8" width="144.44140625" style="1" bestFit="1" customWidth="1"/>
    <col min="9" max="16384" width="8.88671875" style="1"/>
  </cols>
  <sheetData>
    <row r="1" spans="1:8" ht="24" x14ac:dyDescent="0.25">
      <c r="A1" s="2" t="s">
        <v>78</v>
      </c>
      <c r="B1" s="2" t="s">
        <v>79</v>
      </c>
      <c r="C1" s="2" t="s">
        <v>80</v>
      </c>
      <c r="D1" s="2" t="s">
        <v>81</v>
      </c>
      <c r="E1" s="2" t="s">
        <v>82</v>
      </c>
      <c r="F1" s="2" t="s">
        <v>83</v>
      </c>
      <c r="G1" s="2" t="s">
        <v>84</v>
      </c>
      <c r="H1" s="4" t="s">
        <v>85</v>
      </c>
    </row>
    <row r="2" spans="1:8" x14ac:dyDescent="0.25">
      <c r="A2" s="1" t="str">
        <f>"754  "</f>
        <v xml:space="preserve">754  </v>
      </c>
      <c r="B2" s="1" t="str">
        <f>"1199 SEIU NATIONAL BENEFIT FUND                   "</f>
        <v xml:space="preserve">1199 SEIU NATIONAL BENEFIT FUND                   </v>
      </c>
      <c r="C2" s="1" t="s">
        <v>311</v>
      </c>
      <c r="D2" s="1" t="s">
        <v>2772</v>
      </c>
      <c r="E2" s="1" t="s">
        <v>2773</v>
      </c>
      <c r="F2" s="1" t="str">
        <f>"101081007"</f>
        <v>101081007</v>
      </c>
      <c r="G2" s="1" t="str">
        <f>"6464739200"</f>
        <v>6464739200</v>
      </c>
      <c r="H2" s="1" t="s">
        <v>2637</v>
      </c>
    </row>
    <row r="3" spans="1:8" x14ac:dyDescent="0.25">
      <c r="A3" s="1" t="str">
        <f>"462  "</f>
        <v xml:space="preserve">462  </v>
      </c>
      <c r="B3" s="1" t="str">
        <f>"1ST MEDICAL NETWORK                               "</f>
        <v xml:space="preserve">1ST MEDICAL NETWORK                               </v>
      </c>
      <c r="C3" s="1" t="s">
        <v>2509</v>
      </c>
      <c r="D3" s="1" t="s">
        <v>2717</v>
      </c>
      <c r="E3" s="1" t="s">
        <v>2681</v>
      </c>
      <c r="F3" s="1" t="str">
        <f>"31139    "</f>
        <v xml:space="preserve">31139    </v>
      </c>
      <c r="G3" s="1" t="str">
        <f>"8889806676"</f>
        <v>8889806676</v>
      </c>
      <c r="H3" s="1" t="s">
        <v>2688</v>
      </c>
    </row>
    <row r="4" spans="1:8" x14ac:dyDescent="0.25">
      <c r="A4" s="1" t="str">
        <f>"710  "</f>
        <v xml:space="preserve">710  </v>
      </c>
      <c r="B4" s="1" t="str">
        <f>"21ST CENTURY HEALTH AND BENEFITS INC              "</f>
        <v xml:space="preserve">21ST CENTURY HEALTH AND BENEFITS INC              </v>
      </c>
      <c r="C4" s="1" t="s">
        <v>1471</v>
      </c>
      <c r="D4" s="1" t="s">
        <v>1472</v>
      </c>
      <c r="E4" s="1" t="s">
        <v>2821</v>
      </c>
      <c r="F4" s="1" t="str">
        <f>"08034    "</f>
        <v xml:space="preserve">08034    </v>
      </c>
      <c r="G4" s="1" t="str">
        <f>"8003234890"</f>
        <v>8003234890</v>
      </c>
      <c r="H4" s="1" t="s">
        <v>2637</v>
      </c>
    </row>
    <row r="5" spans="1:8" x14ac:dyDescent="0.25">
      <c r="A5" s="1" t="s">
        <v>1738</v>
      </c>
      <c r="B5" s="1" t="s">
        <v>1739</v>
      </c>
      <c r="C5" s="1" t="s">
        <v>1740</v>
      </c>
      <c r="D5" s="1" t="s">
        <v>2036</v>
      </c>
      <c r="E5" s="1" t="s">
        <v>2677</v>
      </c>
      <c r="F5" s="1" t="str">
        <f>"271022000"</f>
        <v>271022000</v>
      </c>
      <c r="G5" s="1" t="str">
        <f>"3367592013"</f>
        <v>3367592013</v>
      </c>
      <c r="H5" s="1" t="s">
        <v>2637</v>
      </c>
    </row>
    <row r="6" spans="1:8" x14ac:dyDescent="0.25">
      <c r="A6" s="1" t="s">
        <v>674</v>
      </c>
      <c r="B6" s="1" t="s">
        <v>1739</v>
      </c>
      <c r="C6" s="1" t="s">
        <v>1740</v>
      </c>
      <c r="D6" s="1" t="s">
        <v>2036</v>
      </c>
      <c r="E6" s="1" t="s">
        <v>2677</v>
      </c>
      <c r="F6" s="1" t="str">
        <f>"271022000"</f>
        <v>271022000</v>
      </c>
      <c r="G6" s="1" t="str">
        <f>"3367592013"</f>
        <v>3367592013</v>
      </c>
      <c r="H6" s="1" t="s">
        <v>2637</v>
      </c>
    </row>
    <row r="7" spans="1:8" x14ac:dyDescent="0.25">
      <c r="A7" s="1" t="str">
        <f>"650  "</f>
        <v xml:space="preserve">650  </v>
      </c>
      <c r="B7" s="1" t="s">
        <v>1709</v>
      </c>
      <c r="C7" s="1" t="str">
        <f>"-                                                 "</f>
        <v xml:space="preserve">-                                                 </v>
      </c>
      <c r="D7" s="1" t="str">
        <f>"-                                      "</f>
        <v xml:space="preserve">-                                      </v>
      </c>
      <c r="E7" s="1" t="str">
        <f>"- "</f>
        <v xml:space="preserve">- </v>
      </c>
      <c r="F7" s="1" t="str">
        <f>"-        "</f>
        <v xml:space="preserve">-        </v>
      </c>
      <c r="G7" s="1" t="s">
        <v>2637</v>
      </c>
      <c r="H7" s="1" t="s">
        <v>2637</v>
      </c>
    </row>
    <row r="8" spans="1:8" x14ac:dyDescent="0.25">
      <c r="A8" s="1" t="str">
        <f>"543  "</f>
        <v xml:space="preserve">543  </v>
      </c>
      <c r="B8" s="1" t="s">
        <v>759</v>
      </c>
      <c r="C8" s="1" t="s">
        <v>760</v>
      </c>
      <c r="D8" s="1" t="s">
        <v>761</v>
      </c>
      <c r="E8" s="1" t="s">
        <v>2636</v>
      </c>
      <c r="F8" s="1" t="str">
        <f>"75034    "</f>
        <v xml:space="preserve">75034    </v>
      </c>
      <c r="G8" s="1" t="str">
        <f>"8002900523"</f>
        <v>8002900523</v>
      </c>
      <c r="H8" s="1" t="s">
        <v>2688</v>
      </c>
    </row>
    <row r="9" spans="1:8" x14ac:dyDescent="0.25">
      <c r="A9" s="1" t="str">
        <f>"266  "</f>
        <v xml:space="preserve">266  </v>
      </c>
      <c r="B9" s="1" t="s">
        <v>1607</v>
      </c>
      <c r="C9" s="1" t="str">
        <f>"2570 TECHNICAL DRIVE                              "</f>
        <v xml:space="preserve">2570 TECHNICAL DRIVE                              </v>
      </c>
      <c r="D9" s="1" t="s">
        <v>1608</v>
      </c>
      <c r="E9" s="1" t="s">
        <v>2714</v>
      </c>
      <c r="F9" s="1" t="str">
        <f>"45342    "</f>
        <v xml:space="preserve">45342    </v>
      </c>
      <c r="G9" s="1" t="str">
        <f>"8002326242"</f>
        <v>8002326242</v>
      </c>
      <c r="H9" s="1" t="s">
        <v>2637</v>
      </c>
    </row>
    <row r="10" spans="1:8" x14ac:dyDescent="0.25">
      <c r="A10" s="1" t="str">
        <f>"786  "</f>
        <v xml:space="preserve">786  </v>
      </c>
      <c r="B10" s="1" t="s">
        <v>1035</v>
      </c>
      <c r="C10" s="1" t="s">
        <v>1036</v>
      </c>
      <c r="D10" s="1" t="s">
        <v>2036</v>
      </c>
      <c r="E10" s="1" t="s">
        <v>2677</v>
      </c>
      <c r="F10" s="1" t="str">
        <f>"271022000"</f>
        <v>271022000</v>
      </c>
      <c r="G10" s="1" t="str">
        <f>"8008495370"</f>
        <v>8008495370</v>
      </c>
      <c r="H10" s="1" t="s">
        <v>2760</v>
      </c>
    </row>
    <row r="11" spans="1:8" x14ac:dyDescent="0.25">
      <c r="A11" s="1" t="str">
        <f>"355  "</f>
        <v xml:space="preserve">355  </v>
      </c>
      <c r="B11" s="1" t="s">
        <v>1982</v>
      </c>
      <c r="C11" s="1" t="str">
        <f>"4350 E. CAMELBACK RD. # 200                       "</f>
        <v xml:space="preserve">4350 E. CAMELBACK RD. # 200                       </v>
      </c>
      <c r="D11" s="1" t="s">
        <v>2808</v>
      </c>
      <c r="E11" s="1" t="s">
        <v>2809</v>
      </c>
      <c r="F11" s="1" t="str">
        <f>"85018    "</f>
        <v xml:space="preserve">85018    </v>
      </c>
      <c r="G11" s="1" t="str">
        <f>"6024689500"</f>
        <v>6024689500</v>
      </c>
      <c r="H11" s="1" t="s">
        <v>2637</v>
      </c>
    </row>
    <row r="12" spans="1:8" x14ac:dyDescent="0.25">
      <c r="A12" s="1" t="str">
        <f>"341  "</f>
        <v xml:space="preserve">341  </v>
      </c>
      <c r="B12" s="1" t="s">
        <v>2388</v>
      </c>
      <c r="C12" s="1" t="str">
        <f>"994 OLD EAGLE SCHOOL RD STE 1005                  "</f>
        <v xml:space="preserve">994 OLD EAGLE SCHOOL RD STE 1005                  </v>
      </c>
      <c r="D12" s="1" t="s">
        <v>2389</v>
      </c>
      <c r="E12" s="1" t="s">
        <v>2697</v>
      </c>
      <c r="F12" s="1" t="str">
        <f>"19087    "</f>
        <v xml:space="preserve">19087    </v>
      </c>
      <c r="G12" s="1" t="str">
        <f>"8882939229"</f>
        <v>8882939229</v>
      </c>
      <c r="H12" s="1" t="s">
        <v>2637</v>
      </c>
    </row>
    <row r="13" spans="1:8" x14ac:dyDescent="0.25">
      <c r="A13" s="1" t="str">
        <f>"563  "</f>
        <v xml:space="preserve">563  </v>
      </c>
      <c r="B13" s="1" t="s">
        <v>1578</v>
      </c>
      <c r="C13" s="1" t="str">
        <f>"3301 E ROYALTON ROAD  BLDG D                      "</f>
        <v xml:space="preserve">3301 E ROYALTON ROAD  BLDG D                      </v>
      </c>
      <c r="D13" s="1" t="s">
        <v>1579</v>
      </c>
      <c r="E13" s="1" t="s">
        <v>2714</v>
      </c>
      <c r="F13" s="1" t="str">
        <f>"44147    "</f>
        <v xml:space="preserve">44147    </v>
      </c>
      <c r="G13" s="1" t="s">
        <v>2637</v>
      </c>
      <c r="H13" s="1" t="s">
        <v>2637</v>
      </c>
    </row>
    <row r="14" spans="1:8" x14ac:dyDescent="0.25">
      <c r="A14" s="1" t="str">
        <f>"346  "</f>
        <v xml:space="preserve">346  </v>
      </c>
      <c r="B14" s="1" t="s">
        <v>2337</v>
      </c>
      <c r="C14" s="1" t="str">
        <f>"2187 NORTHLAKE PARKWAY SUITE 106  BLD #9          "</f>
        <v xml:space="preserve">2187 NORTHLAKE PARKWAY SUITE 106  BLD #9          </v>
      </c>
      <c r="D14" s="1" t="s">
        <v>2338</v>
      </c>
      <c r="E14" s="1" t="s">
        <v>2681</v>
      </c>
      <c r="F14" s="1" t="str">
        <f>"30084-   "</f>
        <v xml:space="preserve">30084-   </v>
      </c>
      <c r="G14" s="1" t="str">
        <f>"7709343953"</f>
        <v>7709343953</v>
      </c>
      <c r="H14" s="1" t="s">
        <v>2637</v>
      </c>
    </row>
    <row r="15" spans="1:8" x14ac:dyDescent="0.25">
      <c r="A15" s="1" t="str">
        <f>"829  "</f>
        <v xml:space="preserve">829  </v>
      </c>
      <c r="B15" s="1" t="s">
        <v>1138</v>
      </c>
      <c r="C15" s="1" t="s">
        <v>1139</v>
      </c>
      <c r="D15" s="1" t="s">
        <v>2052</v>
      </c>
      <c r="E15" s="1" t="s">
        <v>2681</v>
      </c>
      <c r="F15" s="1" t="str">
        <f>"30023    "</f>
        <v xml:space="preserve">30023    </v>
      </c>
      <c r="G15" s="1" t="str">
        <f>"6783390211"</f>
        <v>6783390211</v>
      </c>
      <c r="H15" s="1" t="s">
        <v>2637</v>
      </c>
    </row>
    <row r="16" spans="1:8" x14ac:dyDescent="0.25">
      <c r="A16" s="1" t="str">
        <f>"731  "</f>
        <v xml:space="preserve">731  </v>
      </c>
      <c r="B16" s="1" t="s">
        <v>3196</v>
      </c>
      <c r="C16" s="1" t="s">
        <v>3197</v>
      </c>
      <c r="D16" s="1" t="s">
        <v>2717</v>
      </c>
      <c r="E16" s="1" t="s">
        <v>2681</v>
      </c>
      <c r="F16" s="1" t="str">
        <f>"31139    "</f>
        <v xml:space="preserve">31139    </v>
      </c>
      <c r="G16" s="1" t="str">
        <f>"8664704959"</f>
        <v>8664704959</v>
      </c>
      <c r="H16" s="1" t="s">
        <v>2648</v>
      </c>
    </row>
    <row r="17" spans="1:8" x14ac:dyDescent="0.25">
      <c r="A17" s="1" t="s">
        <v>1705</v>
      </c>
      <c r="B17" s="1" t="s">
        <v>1706</v>
      </c>
      <c r="C17" s="1" t="s">
        <v>1707</v>
      </c>
      <c r="D17" s="1" t="s">
        <v>2808</v>
      </c>
      <c r="E17" s="1" t="s">
        <v>2809</v>
      </c>
      <c r="F17" s="1" t="str">
        <f>"850722196"</f>
        <v>850722196</v>
      </c>
      <c r="G17" s="1" t="str">
        <f>"4803914600"</f>
        <v>4803914600</v>
      </c>
      <c r="H17" s="1" t="s">
        <v>1708</v>
      </c>
    </row>
    <row r="18" spans="1:8" x14ac:dyDescent="0.25">
      <c r="A18" s="1" t="s">
        <v>325</v>
      </c>
      <c r="B18" s="1" t="s">
        <v>326</v>
      </c>
      <c r="C18" s="1" t="s">
        <v>327</v>
      </c>
      <c r="D18" s="1" t="s">
        <v>2808</v>
      </c>
      <c r="E18" s="1" t="s">
        <v>2809</v>
      </c>
      <c r="F18" s="1" t="str">
        <f>"85050    "</f>
        <v xml:space="preserve">85050    </v>
      </c>
      <c r="G18" s="1" t="str">
        <f>"8884191094"</f>
        <v>8884191094</v>
      </c>
      <c r="H18" s="1" t="s">
        <v>328</v>
      </c>
    </row>
    <row r="19" spans="1:8" x14ac:dyDescent="0.25">
      <c r="A19" s="1" t="str">
        <f>"310  "</f>
        <v xml:space="preserve">310  </v>
      </c>
      <c r="B19" s="1" t="s">
        <v>266</v>
      </c>
      <c r="C19" s="1" t="s">
        <v>267</v>
      </c>
      <c r="D19" s="1" t="s">
        <v>2717</v>
      </c>
      <c r="E19" s="1" t="s">
        <v>2681</v>
      </c>
      <c r="F19" s="1" t="str">
        <f>"31139    "</f>
        <v xml:space="preserve">31139    </v>
      </c>
      <c r="G19" s="1" t="str">
        <f>"8007425246"</f>
        <v>8007425246</v>
      </c>
      <c r="H19" s="1" t="s">
        <v>2637</v>
      </c>
    </row>
    <row r="20" spans="1:8" x14ac:dyDescent="0.25">
      <c r="A20" s="1" t="s">
        <v>2276</v>
      </c>
      <c r="B20" s="1" t="s">
        <v>2277</v>
      </c>
      <c r="C20" s="1" t="str">
        <f>"125 MERRILL DR. STE. 2000                         "</f>
        <v xml:space="preserve">125 MERRILL DR. STE. 2000                         </v>
      </c>
      <c r="D20" s="1" t="s">
        <v>2943</v>
      </c>
      <c r="E20" s="1" t="s">
        <v>2944</v>
      </c>
      <c r="F20" s="1" t="str">
        <f>"72211    "</f>
        <v xml:space="preserve">72211    </v>
      </c>
      <c r="G20" s="1" t="str">
        <f>"8882424800"</f>
        <v>8882424800</v>
      </c>
      <c r="H20" s="1" t="s">
        <v>2278</v>
      </c>
    </row>
    <row r="21" spans="1:8" x14ac:dyDescent="0.25">
      <c r="A21" s="1" t="s">
        <v>875</v>
      </c>
      <c r="B21" s="1" t="s">
        <v>876</v>
      </c>
      <c r="C21" s="1" t="s">
        <v>877</v>
      </c>
      <c r="D21" s="1" t="s">
        <v>2791</v>
      </c>
      <c r="E21" s="1" t="s">
        <v>2744</v>
      </c>
      <c r="F21" s="1" t="str">
        <f>"407427154"</f>
        <v>407427154</v>
      </c>
      <c r="G21" s="1" t="str">
        <f>"8007135095"</f>
        <v>8007135095</v>
      </c>
      <c r="H21" s="1" t="s">
        <v>2795</v>
      </c>
    </row>
    <row r="22" spans="1:8" x14ac:dyDescent="0.25">
      <c r="A22" s="1" t="s">
        <v>2161</v>
      </c>
      <c r="B22" s="1" t="s">
        <v>2162</v>
      </c>
      <c r="C22" s="1" t="s">
        <v>2163</v>
      </c>
      <c r="D22" s="1" t="s">
        <v>2024</v>
      </c>
      <c r="E22" s="1" t="s">
        <v>2636</v>
      </c>
      <c r="F22" s="1" t="str">
        <f>"76099    "</f>
        <v xml:space="preserve">76099    </v>
      </c>
      <c r="G22" s="1" t="str">
        <f>"8006380589"</f>
        <v>8006380589</v>
      </c>
      <c r="H22" s="1" t="s">
        <v>2637</v>
      </c>
    </row>
    <row r="23" spans="1:8" x14ac:dyDescent="0.25">
      <c r="A23" s="1" t="str">
        <f>"899  "</f>
        <v xml:space="preserve">899  </v>
      </c>
      <c r="B23" s="1" t="s">
        <v>1941</v>
      </c>
      <c r="C23" s="1" t="str">
        <f>"3 CENTERVIEW DRIVE                                "</f>
        <v xml:space="preserve">3 CENTERVIEW DRIVE                                </v>
      </c>
      <c r="D23" s="1" t="s">
        <v>2058</v>
      </c>
      <c r="E23" s="1" t="s">
        <v>2677</v>
      </c>
      <c r="F23" s="1" t="str">
        <f>"27407    "</f>
        <v xml:space="preserve">27407    </v>
      </c>
      <c r="G23" s="1" t="str">
        <f>"8004591466"</f>
        <v>8004591466</v>
      </c>
      <c r="H23" s="1" t="s">
        <v>1942</v>
      </c>
    </row>
    <row r="24" spans="1:8" x14ac:dyDescent="0.25">
      <c r="A24" s="1" t="s">
        <v>1964</v>
      </c>
      <c r="B24" s="1" t="s">
        <v>1965</v>
      </c>
      <c r="C24" s="1" t="s">
        <v>1966</v>
      </c>
      <c r="D24" s="1" t="s">
        <v>2743</v>
      </c>
      <c r="E24" s="1" t="s">
        <v>2744</v>
      </c>
      <c r="F24" s="1" t="str">
        <f>"40232    "</f>
        <v xml:space="preserve">40232    </v>
      </c>
      <c r="G24" s="1" t="str">
        <f>"8004233289"</f>
        <v>8004233289</v>
      </c>
      <c r="H24" s="1" t="s">
        <v>2760</v>
      </c>
    </row>
    <row r="25" spans="1:8" x14ac:dyDescent="0.25">
      <c r="A25" s="1" t="s">
        <v>2538</v>
      </c>
      <c r="B25" s="1" t="s">
        <v>2539</v>
      </c>
      <c r="C25" s="1" t="s">
        <v>2540</v>
      </c>
      <c r="D25" s="1" t="s">
        <v>2794</v>
      </c>
      <c r="E25" s="1" t="s">
        <v>2744</v>
      </c>
      <c r="F25" s="1" t="str">
        <f>"405124079"</f>
        <v>405124079</v>
      </c>
      <c r="G25" s="1" t="str">
        <f>"8006240756"</f>
        <v>8006240756</v>
      </c>
      <c r="H25" s="1" t="s">
        <v>2795</v>
      </c>
    </row>
    <row r="26" spans="1:8" x14ac:dyDescent="0.25">
      <c r="A26" s="1" t="str">
        <f>"100RX"</f>
        <v>100RX</v>
      </c>
      <c r="B26" s="1" t="s">
        <v>2372</v>
      </c>
      <c r="C26" s="1" t="s">
        <v>2373</v>
      </c>
      <c r="D26" s="1" t="s">
        <v>2794</v>
      </c>
      <c r="E26" s="1" t="s">
        <v>2744</v>
      </c>
      <c r="F26" s="1" t="str">
        <f>"40512    "</f>
        <v xml:space="preserve">40512    </v>
      </c>
      <c r="G26" s="1" t="str">
        <f>"8002386279"</f>
        <v>8002386279</v>
      </c>
      <c r="H26" s="1" t="s">
        <v>2637</v>
      </c>
    </row>
    <row r="27" spans="1:8" x14ac:dyDescent="0.25">
      <c r="A27" s="1" t="str">
        <f>"100  "</f>
        <v xml:space="preserve">100  </v>
      </c>
      <c r="B27" s="1" t="s">
        <v>1337</v>
      </c>
      <c r="C27" s="1" t="s">
        <v>3281</v>
      </c>
      <c r="D27" s="1" t="s">
        <v>2794</v>
      </c>
      <c r="E27" s="1" t="s">
        <v>2744</v>
      </c>
      <c r="F27" s="1" t="str">
        <f>"40512    "</f>
        <v xml:space="preserve">40512    </v>
      </c>
      <c r="G27" s="1" t="str">
        <f>"8003334432"</f>
        <v>8003334432</v>
      </c>
      <c r="H27" s="1" t="s">
        <v>2637</v>
      </c>
    </row>
    <row r="28" spans="1:8" x14ac:dyDescent="0.25">
      <c r="A28" s="1" t="str">
        <f>"100DN"</f>
        <v>100DN</v>
      </c>
      <c r="B28" s="1" t="s">
        <v>1337</v>
      </c>
      <c r="C28" s="1" t="s">
        <v>1338</v>
      </c>
      <c r="D28" s="1" t="s">
        <v>2794</v>
      </c>
      <c r="E28" s="1" t="s">
        <v>2744</v>
      </c>
      <c r="F28" s="1" t="str">
        <f>"40512    "</f>
        <v xml:space="preserve">40512    </v>
      </c>
      <c r="G28" s="1" t="str">
        <f>"8004517715"</f>
        <v>8004517715</v>
      </c>
      <c r="H28" s="1" t="s">
        <v>2637</v>
      </c>
    </row>
    <row r="29" spans="1:8" x14ac:dyDescent="0.25">
      <c r="A29" s="1" t="s">
        <v>3056</v>
      </c>
      <c r="B29" s="1" t="s">
        <v>3057</v>
      </c>
      <c r="C29" s="1" t="s">
        <v>3058</v>
      </c>
      <c r="D29" s="1" t="s">
        <v>2854</v>
      </c>
      <c r="E29" s="1" t="s">
        <v>2636</v>
      </c>
      <c r="F29" s="1" t="str">
        <f>"799981726"</f>
        <v>799981726</v>
      </c>
      <c r="G29" s="1" t="str">
        <f>"8662475678"</f>
        <v>8662475678</v>
      </c>
      <c r="H29" s="1" t="s">
        <v>2637</v>
      </c>
    </row>
    <row r="30" spans="1:8" x14ac:dyDescent="0.25">
      <c r="A30" s="1" t="str">
        <f>"776  "</f>
        <v xml:space="preserve">776  </v>
      </c>
      <c r="B30" s="1" t="s">
        <v>694</v>
      </c>
      <c r="C30" s="1" t="str">
        <f>"1 S. LIMESTONE ST STE. 301                        "</f>
        <v xml:space="preserve">1 S. LIMESTONE ST STE. 301                        </v>
      </c>
      <c r="D30" s="1" t="s">
        <v>2397</v>
      </c>
      <c r="E30" s="1" t="s">
        <v>2714</v>
      </c>
      <c r="F30" s="1" t="str">
        <f>"45502    "</f>
        <v xml:space="preserve">45502    </v>
      </c>
      <c r="G30" s="1" t="str">
        <f>"8667669016"</f>
        <v>8667669016</v>
      </c>
      <c r="H30" s="1" t="s">
        <v>2735</v>
      </c>
    </row>
    <row r="31" spans="1:8" x14ac:dyDescent="0.25">
      <c r="A31" s="1" t="str">
        <f>"595  "</f>
        <v xml:space="preserve">595  </v>
      </c>
      <c r="B31" s="1" t="s">
        <v>278</v>
      </c>
      <c r="C31" s="1" t="str">
        <f>"1932 WYNNTON ROAD                                 "</f>
        <v xml:space="preserve">1932 WYNNTON ROAD                                 </v>
      </c>
      <c r="D31" s="1" t="s">
        <v>2923</v>
      </c>
      <c r="E31" s="1" t="s">
        <v>2681</v>
      </c>
      <c r="F31" s="1" t="str">
        <f>"31999    "</f>
        <v xml:space="preserve">31999    </v>
      </c>
      <c r="G31" s="1" t="str">
        <f>"8009923522"</f>
        <v>8009923522</v>
      </c>
      <c r="H31" s="1" t="s">
        <v>2637</v>
      </c>
    </row>
    <row r="32" spans="1:8" x14ac:dyDescent="0.25">
      <c r="A32" s="1" t="str">
        <f>"289  "</f>
        <v xml:space="preserve">289  </v>
      </c>
      <c r="B32" s="1" t="s">
        <v>1303</v>
      </c>
      <c r="C32" s="1" t="str">
        <f>"261 MADISON AVE                                   "</f>
        <v xml:space="preserve">261 MADISON AVE                                   </v>
      </c>
      <c r="D32" s="1" t="s">
        <v>2772</v>
      </c>
      <c r="E32" s="1" t="s">
        <v>2773</v>
      </c>
      <c r="F32" s="1" t="str">
        <f>"10016    "</f>
        <v xml:space="preserve">10016    </v>
      </c>
      <c r="G32" s="1" t="str">
        <f>"8005624690"</f>
        <v>8005624690</v>
      </c>
      <c r="H32" s="1" t="s">
        <v>2648</v>
      </c>
    </row>
    <row r="33" spans="1:8" x14ac:dyDescent="0.25">
      <c r="A33" s="1" t="str">
        <f>"651  "</f>
        <v xml:space="preserve">651  </v>
      </c>
      <c r="B33" s="1" t="s">
        <v>323</v>
      </c>
      <c r="C33" s="1" t="str">
        <f>"-                                                 "</f>
        <v xml:space="preserve">-                                                 </v>
      </c>
      <c r="D33" s="1" t="str">
        <f>"-                                      "</f>
        <v xml:space="preserve">-                                      </v>
      </c>
      <c r="E33" s="1" t="str">
        <f>"- "</f>
        <v xml:space="preserve">- </v>
      </c>
      <c r="F33" s="1" t="str">
        <f>"-        "</f>
        <v xml:space="preserve">-        </v>
      </c>
      <c r="G33" s="1" t="s">
        <v>2637</v>
      </c>
      <c r="H33" s="1" t="s">
        <v>2637</v>
      </c>
    </row>
    <row r="34" spans="1:8" x14ac:dyDescent="0.25">
      <c r="A34" s="1" t="str">
        <f>"455  "</f>
        <v xml:space="preserve">455  </v>
      </c>
      <c r="B34" s="1" t="s">
        <v>253</v>
      </c>
      <c r="C34" s="1" t="str">
        <f>"520 E 34TH AVENUE SUITE 107                       "</f>
        <v xml:space="preserve">520 E 34TH AVENUE SUITE 107                       </v>
      </c>
      <c r="D34" s="1" t="s">
        <v>3169</v>
      </c>
      <c r="E34" s="1" t="s">
        <v>3170</v>
      </c>
      <c r="F34" s="1" t="str">
        <f>"995034116"</f>
        <v>995034116</v>
      </c>
      <c r="G34" s="1" t="str">
        <f>"8004784450"</f>
        <v>8004784450</v>
      </c>
      <c r="H34" s="1" t="s">
        <v>2688</v>
      </c>
    </row>
    <row r="35" spans="1:8" x14ac:dyDescent="0.25">
      <c r="A35" s="1" t="str">
        <f>"344  "</f>
        <v xml:space="preserve">344  </v>
      </c>
      <c r="B35" s="1" t="s">
        <v>61</v>
      </c>
      <c r="C35" s="1" t="s">
        <v>62</v>
      </c>
      <c r="D35" s="1" t="s">
        <v>2808</v>
      </c>
      <c r="E35" s="1" t="s">
        <v>2809</v>
      </c>
      <c r="F35" s="1" t="str">
        <f>"850689060"</f>
        <v>850689060</v>
      </c>
      <c r="G35" s="1" t="str">
        <f>"8008825707"</f>
        <v>8008825707</v>
      </c>
      <c r="H35" s="1" t="s">
        <v>3218</v>
      </c>
    </row>
    <row r="36" spans="1:8" x14ac:dyDescent="0.25">
      <c r="A36" s="1" t="str">
        <f>"299  "</f>
        <v xml:space="preserve">299  </v>
      </c>
      <c r="B36" s="1" t="s">
        <v>2770</v>
      </c>
      <c r="C36" s="1" t="s">
        <v>2771</v>
      </c>
      <c r="D36" s="1" t="s">
        <v>2772</v>
      </c>
      <c r="E36" s="1" t="s">
        <v>2773</v>
      </c>
      <c r="F36" s="1" t="str">
        <f>"10116    "</f>
        <v xml:space="preserve">10116    </v>
      </c>
      <c r="G36" s="1" t="str">
        <f>"2125395115"</f>
        <v>2125395115</v>
      </c>
      <c r="H36" s="1" t="s">
        <v>2637</v>
      </c>
    </row>
    <row r="37" spans="1:8" x14ac:dyDescent="0.25">
      <c r="A37" s="1" t="str">
        <f>"200  "</f>
        <v xml:space="preserve">200  </v>
      </c>
      <c r="B37" s="1" t="s">
        <v>1495</v>
      </c>
      <c r="C37" s="1" t="str">
        <f>"8501 WEST HIGGINS ROAD                            "</f>
        <v xml:space="preserve">8501 WEST HIGGINS ROAD                            </v>
      </c>
      <c r="D37" s="1" t="s">
        <v>2154</v>
      </c>
      <c r="E37" s="1" t="s">
        <v>2786</v>
      </c>
      <c r="F37" s="1" t="str">
        <f>"60631    "</f>
        <v xml:space="preserve">60631    </v>
      </c>
      <c r="G37" s="1" t="str">
        <f>"7733996645"</f>
        <v>7733996645</v>
      </c>
      <c r="H37" s="1" t="s">
        <v>2637</v>
      </c>
    </row>
    <row r="38" spans="1:8" x14ac:dyDescent="0.25">
      <c r="A38" s="1" t="str">
        <f>"199  "</f>
        <v xml:space="preserve">199  </v>
      </c>
      <c r="B38" s="1" t="s">
        <v>758</v>
      </c>
      <c r="C38" s="1" t="str">
        <f>"-                                                 "</f>
        <v xml:space="preserve">-                                                 </v>
      </c>
      <c r="D38" s="1" t="str">
        <f>"-                                      "</f>
        <v xml:space="preserve">-                                      </v>
      </c>
      <c r="E38" s="1" t="str">
        <f>"- "</f>
        <v xml:space="preserve">- </v>
      </c>
      <c r="F38" s="1" t="str">
        <f>"-        "</f>
        <v xml:space="preserve">-        </v>
      </c>
      <c r="G38" s="1" t="s">
        <v>2637</v>
      </c>
      <c r="H38" s="1" t="s">
        <v>2637</v>
      </c>
    </row>
    <row r="39" spans="1:8" x14ac:dyDescent="0.25">
      <c r="A39" s="1" t="str">
        <f>"560  "</f>
        <v xml:space="preserve">560  </v>
      </c>
      <c r="B39" s="1" t="s">
        <v>504</v>
      </c>
      <c r="C39" s="1" t="s">
        <v>505</v>
      </c>
      <c r="D39" s="1" t="s">
        <v>506</v>
      </c>
      <c r="E39" s="1" t="s">
        <v>2681</v>
      </c>
      <c r="F39" s="1" t="str">
        <f>"310300978"</f>
        <v>310300978</v>
      </c>
      <c r="G39" s="1" t="str">
        <f>"8008255406"</f>
        <v>8008255406</v>
      </c>
      <c r="H39" s="1" t="s">
        <v>2637</v>
      </c>
    </row>
    <row r="40" spans="1:8" x14ac:dyDescent="0.25">
      <c r="A40" s="1" t="str">
        <f>"652  "</f>
        <v xml:space="preserve">652  </v>
      </c>
      <c r="B40" s="1" t="s">
        <v>2962</v>
      </c>
      <c r="C40" s="1" t="str">
        <f>"-                                                 "</f>
        <v xml:space="preserve">-                                                 </v>
      </c>
      <c r="D40" s="1" t="str">
        <f>"-                                      "</f>
        <v xml:space="preserve">-                                      </v>
      </c>
      <c r="E40" s="1" t="str">
        <f>"- "</f>
        <v xml:space="preserve">- </v>
      </c>
      <c r="F40" s="1" t="str">
        <f>"-        "</f>
        <v xml:space="preserve">-        </v>
      </c>
      <c r="G40" s="1" t="s">
        <v>2637</v>
      </c>
      <c r="H40" s="1" t="s">
        <v>2637</v>
      </c>
    </row>
    <row r="41" spans="1:8" x14ac:dyDescent="0.25">
      <c r="A41" s="1" t="str">
        <f>"272  "</f>
        <v xml:space="preserve">272  </v>
      </c>
      <c r="B41" s="1" t="s">
        <v>419</v>
      </c>
      <c r="C41" s="1" t="s">
        <v>420</v>
      </c>
      <c r="D41" s="1" t="s">
        <v>2755</v>
      </c>
      <c r="E41" s="1" t="s">
        <v>2647</v>
      </c>
      <c r="F41" s="1" t="str">
        <f>"20850    "</f>
        <v xml:space="preserve">20850    </v>
      </c>
      <c r="G41" s="1" t="str">
        <f>"8003423289"</f>
        <v>8003423289</v>
      </c>
      <c r="H41" s="1" t="s">
        <v>2637</v>
      </c>
    </row>
    <row r="42" spans="1:8" x14ac:dyDescent="0.25">
      <c r="A42" s="1" t="str">
        <f>"521  "</f>
        <v xml:space="preserve">521  </v>
      </c>
      <c r="B42" s="1" t="s">
        <v>1217</v>
      </c>
      <c r="C42" s="1" t="s">
        <v>2582</v>
      </c>
      <c r="D42" s="1" t="s">
        <v>2726</v>
      </c>
      <c r="E42" s="1" t="s">
        <v>2647</v>
      </c>
      <c r="F42" s="1" t="str">
        <f>"21705    "</f>
        <v xml:space="preserve">21705    </v>
      </c>
      <c r="G42" s="1" t="str">
        <f>"8002350123"</f>
        <v>8002350123</v>
      </c>
      <c r="H42" s="1" t="s">
        <v>2648</v>
      </c>
    </row>
    <row r="43" spans="1:8" x14ac:dyDescent="0.25">
      <c r="A43" s="1" t="s">
        <v>642</v>
      </c>
      <c r="B43" s="1" t="s">
        <v>643</v>
      </c>
      <c r="C43" s="1" t="s">
        <v>644</v>
      </c>
      <c r="D43" s="1" t="s">
        <v>927</v>
      </c>
      <c r="E43" s="1" t="s">
        <v>3164</v>
      </c>
      <c r="F43" s="1" t="str">
        <f>"24108    "</f>
        <v xml:space="preserve">24108    </v>
      </c>
      <c r="G43" s="1" t="str">
        <f>"8002834927"</f>
        <v>8002834927</v>
      </c>
      <c r="H43" s="1" t="s">
        <v>2637</v>
      </c>
    </row>
    <row r="44" spans="1:8" x14ac:dyDescent="0.25">
      <c r="A44" s="1" t="str">
        <f>"413  "</f>
        <v xml:space="preserve">413  </v>
      </c>
      <c r="B44" s="1" t="s">
        <v>19</v>
      </c>
      <c r="C44" s="1" t="s">
        <v>20</v>
      </c>
      <c r="D44" s="1" t="s">
        <v>2154</v>
      </c>
      <c r="E44" s="1" t="s">
        <v>2786</v>
      </c>
      <c r="F44" s="1" t="str">
        <f>"60690    "</f>
        <v xml:space="preserve">60690    </v>
      </c>
      <c r="G44" s="1" t="str">
        <f>"8002882078"</f>
        <v>8002882078</v>
      </c>
      <c r="H44" s="1" t="s">
        <v>2637</v>
      </c>
    </row>
    <row r="45" spans="1:8" x14ac:dyDescent="0.25">
      <c r="A45" s="1" t="str">
        <f>"135  "</f>
        <v xml:space="preserve">135  </v>
      </c>
      <c r="B45" s="1" t="s">
        <v>826</v>
      </c>
      <c r="C45" s="1" t="s">
        <v>827</v>
      </c>
      <c r="D45" s="1" t="s">
        <v>2685</v>
      </c>
      <c r="E45" s="1" t="s">
        <v>2670</v>
      </c>
      <c r="F45" s="1" t="str">
        <f>"641416233"</f>
        <v>641416233</v>
      </c>
      <c r="G45" s="1" t="str">
        <f>"8008257531"</f>
        <v>8008257531</v>
      </c>
      <c r="H45" s="1" t="s">
        <v>828</v>
      </c>
    </row>
    <row r="46" spans="1:8" x14ac:dyDescent="0.25">
      <c r="A46" s="1" t="str">
        <f>"115  "</f>
        <v xml:space="preserve">115  </v>
      </c>
      <c r="B46" s="1" t="s">
        <v>2516</v>
      </c>
      <c r="C46" s="1" t="s">
        <v>2517</v>
      </c>
      <c r="D46" s="1" t="s">
        <v>2701</v>
      </c>
      <c r="E46" s="1" t="s">
        <v>2660</v>
      </c>
      <c r="F46" s="1" t="str">
        <f>"29202    "</f>
        <v xml:space="preserve">29202    </v>
      </c>
      <c r="G46" s="1" t="str">
        <f>"8003668997"</f>
        <v>8003668997</v>
      </c>
      <c r="H46" s="1" t="s">
        <v>2760</v>
      </c>
    </row>
    <row r="47" spans="1:8" x14ac:dyDescent="0.25">
      <c r="A47" s="1" t="str">
        <f>"193  "</f>
        <v xml:space="preserve">193  </v>
      </c>
      <c r="B47" s="1" t="s">
        <v>155</v>
      </c>
      <c r="C47" s="1" t="s">
        <v>156</v>
      </c>
      <c r="D47" s="1" t="s">
        <v>2061</v>
      </c>
      <c r="E47" s="1" t="s">
        <v>2636</v>
      </c>
      <c r="F47" s="1" t="str">
        <f>"750853916"</f>
        <v>750853916</v>
      </c>
      <c r="G47" s="1" t="str">
        <f>"8009377039"</f>
        <v>8009377039</v>
      </c>
      <c r="H47" s="1" t="s">
        <v>2637</v>
      </c>
    </row>
    <row r="48" spans="1:8" x14ac:dyDescent="0.25">
      <c r="A48" s="1" t="str">
        <f>"581  "</f>
        <v xml:space="preserve">581  </v>
      </c>
      <c r="B48" s="1" t="s">
        <v>2671</v>
      </c>
      <c r="C48" s="1" t="s">
        <v>2672</v>
      </c>
      <c r="D48" s="1" t="s">
        <v>2673</v>
      </c>
      <c r="E48" s="1" t="s">
        <v>2674</v>
      </c>
      <c r="F48" s="1" t="str">
        <f>"84130    "</f>
        <v xml:space="preserve">84130    </v>
      </c>
      <c r="G48" s="1" t="str">
        <f>"8009985033"</f>
        <v>8009985033</v>
      </c>
      <c r="H48" s="1" t="s">
        <v>2637</v>
      </c>
    </row>
    <row r="49" spans="1:8" x14ac:dyDescent="0.25">
      <c r="A49" s="1" t="s">
        <v>157</v>
      </c>
      <c r="B49" s="1" t="s">
        <v>158</v>
      </c>
      <c r="C49" s="1" t="str">
        <f>"2920 BRANDYWINE RD.  STE. 106                     "</f>
        <v xml:space="preserve">2920 BRANDYWINE RD.  STE. 106                     </v>
      </c>
      <c r="D49" s="1" t="s">
        <v>2717</v>
      </c>
      <c r="E49" s="1" t="s">
        <v>2681</v>
      </c>
      <c r="F49" s="1" t="str">
        <f>"30341    "</f>
        <v xml:space="preserve">30341    </v>
      </c>
      <c r="G49" s="1" t="str">
        <f>"8002417319"</f>
        <v>8002417319</v>
      </c>
      <c r="H49" s="1" t="s">
        <v>2637</v>
      </c>
    </row>
    <row r="50" spans="1:8" x14ac:dyDescent="0.25">
      <c r="A50" s="1" t="str">
        <f>"234  "</f>
        <v xml:space="preserve">234  </v>
      </c>
      <c r="B50" s="1" t="s">
        <v>1627</v>
      </c>
      <c r="C50" s="1" t="s">
        <v>1628</v>
      </c>
      <c r="D50" s="1" t="s">
        <v>2730</v>
      </c>
      <c r="E50" s="1" t="s">
        <v>2731</v>
      </c>
      <c r="F50" s="1" t="str">
        <f>"70898    "</f>
        <v xml:space="preserve">70898    </v>
      </c>
      <c r="G50" s="1" t="str">
        <f>"8887295433"</f>
        <v>8887295433</v>
      </c>
      <c r="H50" s="1" t="s">
        <v>1629</v>
      </c>
    </row>
    <row r="51" spans="1:8" x14ac:dyDescent="0.25">
      <c r="A51" s="1" t="str">
        <f>"161  "</f>
        <v xml:space="preserve">161  </v>
      </c>
      <c r="B51" s="1" t="s">
        <v>374</v>
      </c>
      <c r="C51" s="1" t="str">
        <f>"200 N. LASALLE ST. SUITE 400                      "</f>
        <v xml:space="preserve">200 N. LASALLE ST. SUITE 400                      </v>
      </c>
      <c r="D51" s="1" t="s">
        <v>2154</v>
      </c>
      <c r="E51" s="1" t="s">
        <v>2786</v>
      </c>
      <c r="F51" s="1" t="str">
        <f>"606819785"</f>
        <v>606819785</v>
      </c>
      <c r="G51" s="1" t="str">
        <f>"8004585736"</f>
        <v>8004585736</v>
      </c>
      <c r="H51" s="1" t="s">
        <v>3218</v>
      </c>
    </row>
    <row r="52" spans="1:8" x14ac:dyDescent="0.25">
      <c r="A52" s="1" t="str">
        <f>"297  "</f>
        <v xml:space="preserve">297  </v>
      </c>
      <c r="B52" s="1" t="s">
        <v>2047</v>
      </c>
      <c r="C52" s="1" t="s">
        <v>2048</v>
      </c>
      <c r="D52" s="1" t="s">
        <v>2772</v>
      </c>
      <c r="E52" s="1" t="s">
        <v>2773</v>
      </c>
      <c r="F52" s="1" t="str">
        <f>"101161451"</f>
        <v>101161451</v>
      </c>
      <c r="G52" s="1" t="str">
        <f>"2124735700"</f>
        <v>2124735700</v>
      </c>
      <c r="H52" s="1" t="s">
        <v>2637</v>
      </c>
    </row>
    <row r="53" spans="1:8" x14ac:dyDescent="0.25">
      <c r="A53" s="1" t="s">
        <v>1319</v>
      </c>
      <c r="B53" s="1" t="s">
        <v>1320</v>
      </c>
      <c r="C53" s="1" t="s">
        <v>1321</v>
      </c>
      <c r="D53" s="1" t="s">
        <v>2502</v>
      </c>
      <c r="E53" s="1" t="s">
        <v>2989</v>
      </c>
      <c r="F53" s="1" t="str">
        <f>"83707    "</f>
        <v xml:space="preserve">83707    </v>
      </c>
      <c r="G53" s="1" t="str">
        <f>"8007867930"</f>
        <v>8007867930</v>
      </c>
      <c r="H53" s="1" t="s">
        <v>2637</v>
      </c>
    </row>
    <row r="54" spans="1:8" x14ac:dyDescent="0.25">
      <c r="A54" s="1" t="str">
        <f>"309  "</f>
        <v xml:space="preserve">309  </v>
      </c>
      <c r="B54" s="1" t="s">
        <v>2321</v>
      </c>
      <c r="C54" s="1" t="s">
        <v>2322</v>
      </c>
      <c r="D54" s="1" t="s">
        <v>2323</v>
      </c>
      <c r="E54" s="1" t="s">
        <v>2786</v>
      </c>
      <c r="F54" s="1" t="str">
        <f>"605325227"</f>
        <v>605325227</v>
      </c>
      <c r="G54" s="1" t="str">
        <f>"6304939252"</f>
        <v>6304939252</v>
      </c>
      <c r="H54" s="1" t="s">
        <v>2324</v>
      </c>
    </row>
    <row r="55" spans="1:8" x14ac:dyDescent="0.25">
      <c r="A55" s="1" t="str">
        <f>"910  "</f>
        <v xml:space="preserve">910  </v>
      </c>
      <c r="B55" s="1" t="s">
        <v>2321</v>
      </c>
      <c r="C55" s="1" t="s">
        <v>2322</v>
      </c>
      <c r="D55" s="1" t="s">
        <v>2323</v>
      </c>
      <c r="E55" s="1" t="s">
        <v>2786</v>
      </c>
      <c r="F55" s="1" t="str">
        <f>"605325227"</f>
        <v>605325227</v>
      </c>
      <c r="G55" s="1" t="str">
        <f>"8003545112"</f>
        <v>8003545112</v>
      </c>
      <c r="H55" s="1" t="s">
        <v>416</v>
      </c>
    </row>
    <row r="56" spans="1:8" x14ac:dyDescent="0.25">
      <c r="A56" s="1" t="str">
        <f>"469  "</f>
        <v xml:space="preserve">469  </v>
      </c>
      <c r="B56" s="1" t="s">
        <v>2715</v>
      </c>
      <c r="C56" s="1" t="s">
        <v>2716</v>
      </c>
      <c r="D56" s="1" t="s">
        <v>2717</v>
      </c>
      <c r="E56" s="1" t="s">
        <v>2681</v>
      </c>
      <c r="F56" s="1" t="str">
        <f>"30374    "</f>
        <v xml:space="preserve">30374    </v>
      </c>
      <c r="G56" s="1" t="str">
        <f>"8005235880"</f>
        <v>8005235880</v>
      </c>
      <c r="H56" s="1" t="s">
        <v>2637</v>
      </c>
    </row>
    <row r="57" spans="1:8" x14ac:dyDescent="0.25">
      <c r="A57" s="1" t="s">
        <v>2628</v>
      </c>
      <c r="B57" s="1" t="s">
        <v>2629</v>
      </c>
      <c r="C57" s="1" t="str">
        <f>"3680 GRANDVIEW PARKWAY STE 100                    "</f>
        <v xml:space="preserve">3680 GRANDVIEW PARKWAY STE 100                    </v>
      </c>
      <c r="D57" s="1" t="s">
        <v>3085</v>
      </c>
      <c r="E57" s="1" t="s">
        <v>3086</v>
      </c>
      <c r="F57" s="1" t="str">
        <f>"35243    "</f>
        <v xml:space="preserve">35243    </v>
      </c>
      <c r="G57" s="1" t="str">
        <f>"8009258327"</f>
        <v>8009258327</v>
      </c>
      <c r="H57" s="1" t="s">
        <v>2735</v>
      </c>
    </row>
    <row r="58" spans="1:8" x14ac:dyDescent="0.25">
      <c r="A58" s="1" t="str">
        <f>"968  "</f>
        <v xml:space="preserve">968  </v>
      </c>
      <c r="B58" s="1" t="s">
        <v>2225</v>
      </c>
      <c r="C58" s="1" t="s">
        <v>2226</v>
      </c>
      <c r="D58" s="1" t="s">
        <v>2227</v>
      </c>
      <c r="E58" s="1" t="s">
        <v>2667</v>
      </c>
      <c r="F58" s="1" t="str">
        <f>"53008    "</f>
        <v xml:space="preserve">53008    </v>
      </c>
      <c r="G58" s="1" t="str">
        <f>"6304161111"</f>
        <v>6304161111</v>
      </c>
      <c r="H58" s="1" t="s">
        <v>2637</v>
      </c>
    </row>
    <row r="59" spans="1:8" x14ac:dyDescent="0.25">
      <c r="A59" s="1" t="str">
        <f>"271  "</f>
        <v xml:space="preserve">271  </v>
      </c>
      <c r="B59" s="1" t="s">
        <v>2833</v>
      </c>
      <c r="C59" s="1" t="str">
        <f>"22OO-B ROSSELLE STREET                            "</f>
        <v xml:space="preserve">22OO-B ROSSELLE STREET                            </v>
      </c>
      <c r="D59" s="1" t="s">
        <v>2834</v>
      </c>
      <c r="E59" s="1" t="s">
        <v>2832</v>
      </c>
      <c r="F59" s="1" t="str">
        <f>"32204    "</f>
        <v xml:space="preserve">32204    </v>
      </c>
      <c r="G59" s="1" t="str">
        <f>"8004685126"</f>
        <v>8004685126</v>
      </c>
      <c r="H59" s="1" t="s">
        <v>2637</v>
      </c>
    </row>
    <row r="60" spans="1:8" x14ac:dyDescent="0.25">
      <c r="A60" s="1" t="str">
        <f>"488  "</f>
        <v xml:space="preserve">488  </v>
      </c>
      <c r="B60" s="1" t="s">
        <v>2209</v>
      </c>
      <c r="C60" s="1" t="str">
        <f>"8310 PORT JACKSON AVE NORTHWEST                   "</f>
        <v xml:space="preserve">8310 PORT JACKSON AVE NORTHWEST                   </v>
      </c>
      <c r="D60" s="1" t="s">
        <v>2210</v>
      </c>
      <c r="E60" s="1" t="s">
        <v>2714</v>
      </c>
      <c r="F60" s="1" t="str">
        <f>"44720    "</f>
        <v xml:space="preserve">44720    </v>
      </c>
      <c r="G60" s="1" t="str">
        <f>"3309665500"</f>
        <v>3309665500</v>
      </c>
      <c r="H60" s="1" t="s">
        <v>2637</v>
      </c>
    </row>
    <row r="61" spans="1:8" x14ac:dyDescent="0.25">
      <c r="A61" s="1" t="s">
        <v>2414</v>
      </c>
      <c r="B61" s="1" t="s">
        <v>2100</v>
      </c>
      <c r="C61" s="1" t="s">
        <v>2415</v>
      </c>
      <c r="D61" s="1" t="s">
        <v>2635</v>
      </c>
      <c r="E61" s="1" t="s">
        <v>2636</v>
      </c>
      <c r="F61" s="1" t="str">
        <f>"77292    "</f>
        <v xml:space="preserve">77292    </v>
      </c>
      <c r="G61" s="1" t="str">
        <f>"8006334226"</f>
        <v>8006334226</v>
      </c>
      <c r="H61" s="1" t="s">
        <v>2637</v>
      </c>
    </row>
    <row r="62" spans="1:8" x14ac:dyDescent="0.25">
      <c r="A62" s="1" t="s">
        <v>2099</v>
      </c>
      <c r="B62" s="1" t="s">
        <v>2100</v>
      </c>
      <c r="C62" s="1" t="s">
        <v>2101</v>
      </c>
      <c r="D62" s="1" t="s">
        <v>2635</v>
      </c>
      <c r="E62" s="1" t="s">
        <v>2636</v>
      </c>
      <c r="F62" s="1" t="str">
        <f>"77292    "</f>
        <v xml:space="preserve">77292    </v>
      </c>
      <c r="G62" s="1" t="str">
        <f>"8005989799"</f>
        <v>8005989799</v>
      </c>
      <c r="H62" s="1" t="s">
        <v>2637</v>
      </c>
    </row>
    <row r="63" spans="1:8" x14ac:dyDescent="0.25">
      <c r="A63" s="1" t="s">
        <v>1186</v>
      </c>
      <c r="B63" s="1" t="s">
        <v>1187</v>
      </c>
      <c r="C63" s="1" t="s">
        <v>1188</v>
      </c>
      <c r="D63" s="1" t="s">
        <v>2465</v>
      </c>
      <c r="E63" s="1" t="s">
        <v>2636</v>
      </c>
      <c r="F63" s="1" t="str">
        <f>"761132522"</f>
        <v>761132522</v>
      </c>
      <c r="G63" s="1" t="str">
        <f>"8004331672"</f>
        <v>8004331672</v>
      </c>
      <c r="H63" s="1" t="s">
        <v>2760</v>
      </c>
    </row>
    <row r="64" spans="1:8" x14ac:dyDescent="0.25">
      <c r="A64" s="1" t="str">
        <f>"778  "</f>
        <v xml:space="preserve">778  </v>
      </c>
      <c r="B64" s="1" t="s">
        <v>1424</v>
      </c>
      <c r="C64" s="1" t="s">
        <v>1753</v>
      </c>
      <c r="D64" s="1" t="s">
        <v>3278</v>
      </c>
      <c r="E64" s="1" t="s">
        <v>2970</v>
      </c>
      <c r="F64" s="1" t="str">
        <f>"37024    "</f>
        <v xml:space="preserve">37024    </v>
      </c>
      <c r="G64" s="1" t="str">
        <f>"6153771300"</f>
        <v>6153771300</v>
      </c>
      <c r="H64" s="1" t="s">
        <v>2688</v>
      </c>
    </row>
    <row r="65" spans="1:8" x14ac:dyDescent="0.25">
      <c r="A65" s="1" t="s">
        <v>1423</v>
      </c>
      <c r="B65" s="1" t="s">
        <v>1424</v>
      </c>
      <c r="C65" s="1" t="s">
        <v>1425</v>
      </c>
      <c r="D65" s="1" t="s">
        <v>3278</v>
      </c>
      <c r="E65" s="1" t="s">
        <v>2970</v>
      </c>
      <c r="F65" s="1" t="str">
        <f>"37024    "</f>
        <v xml:space="preserve">37024    </v>
      </c>
      <c r="G65" s="1" t="str">
        <f>"6153371300"</f>
        <v>6153371300</v>
      </c>
      <c r="H65" s="1" t="s">
        <v>2795</v>
      </c>
    </row>
    <row r="66" spans="1:8" x14ac:dyDescent="0.25">
      <c r="A66" s="1" t="str">
        <f>"106  "</f>
        <v xml:space="preserve">106  </v>
      </c>
      <c r="B66" s="1" t="s">
        <v>706</v>
      </c>
      <c r="C66" s="1" t="s">
        <v>707</v>
      </c>
      <c r="D66" s="1" t="s">
        <v>2884</v>
      </c>
      <c r="E66" s="1" t="s">
        <v>2885</v>
      </c>
      <c r="F66" s="1" t="str">
        <f>"731250160"</f>
        <v>731250160</v>
      </c>
      <c r="G66" s="1" t="str">
        <f>"8006548489"</f>
        <v>8006548489</v>
      </c>
      <c r="H66" s="1" t="s">
        <v>2637</v>
      </c>
    </row>
    <row r="67" spans="1:8" x14ac:dyDescent="0.25">
      <c r="A67" s="1" t="str">
        <f>"150  "</f>
        <v xml:space="preserve">150  </v>
      </c>
      <c r="B67" s="1" t="s">
        <v>1365</v>
      </c>
      <c r="C67" s="1" t="s">
        <v>1366</v>
      </c>
      <c r="D67" s="1" t="s">
        <v>3157</v>
      </c>
      <c r="E67" s="1" t="s">
        <v>2970</v>
      </c>
      <c r="F67" s="1" t="str">
        <f>"372021500"</f>
        <v>372021500</v>
      </c>
      <c r="G67" s="1" t="str">
        <f>"8008882452"</f>
        <v>8008882452</v>
      </c>
      <c r="H67" s="1" t="s">
        <v>2637</v>
      </c>
    </row>
    <row r="68" spans="1:8" x14ac:dyDescent="0.25">
      <c r="A68" s="1" t="str">
        <f>"951  "</f>
        <v xml:space="preserve">951  </v>
      </c>
      <c r="B68" s="1" t="s">
        <v>1503</v>
      </c>
      <c r="C68" s="1" t="str">
        <f>"101 CONVENTION CENTER DR. STE. 200                "</f>
        <v xml:space="preserve">101 CONVENTION CENTER DR. STE. 200                </v>
      </c>
      <c r="D68" s="1" t="s">
        <v>2195</v>
      </c>
      <c r="E68" s="1" t="s">
        <v>2862</v>
      </c>
      <c r="F68" s="1" t="str">
        <f>"89109    "</f>
        <v xml:space="preserve">89109    </v>
      </c>
      <c r="G68" s="1" t="str">
        <f>"8008424742"</f>
        <v>8008424742</v>
      </c>
      <c r="H68" s="1" t="s">
        <v>2637</v>
      </c>
    </row>
    <row r="69" spans="1:8" x14ac:dyDescent="0.25">
      <c r="A69" s="1" t="s">
        <v>2193</v>
      </c>
      <c r="B69" s="1" t="s">
        <v>2194</v>
      </c>
      <c r="C69" s="1" t="str">
        <f>"101 CONVENTION CENTER DR. STE 200                 "</f>
        <v xml:space="preserve">101 CONVENTION CENTER DR. STE 200                 </v>
      </c>
      <c r="D69" s="1" t="s">
        <v>2195</v>
      </c>
      <c r="E69" s="1" t="s">
        <v>2196</v>
      </c>
      <c r="F69" s="1" t="str">
        <f>"89109    "</f>
        <v xml:space="preserve">89109    </v>
      </c>
      <c r="G69" s="1" t="str">
        <f>"8008424742"</f>
        <v>8008424742</v>
      </c>
      <c r="H69" s="1" t="s">
        <v>2688</v>
      </c>
    </row>
    <row r="70" spans="1:8" x14ac:dyDescent="0.25">
      <c r="A70" s="1" t="str">
        <f>"118  "</f>
        <v xml:space="preserve">118  </v>
      </c>
      <c r="B70" s="1" t="s">
        <v>3139</v>
      </c>
      <c r="C70" s="1" t="str">
        <f>"300 ST. PAUL PLACE                                "</f>
        <v xml:space="preserve">300 ST. PAUL PLACE                                </v>
      </c>
      <c r="D70" s="1" t="s">
        <v>2652</v>
      </c>
      <c r="E70" s="1" t="s">
        <v>2647</v>
      </c>
      <c r="F70" s="1" t="str">
        <f>"21202    "</f>
        <v xml:space="preserve">21202    </v>
      </c>
      <c r="G70" s="1" t="str">
        <f>"3013323000"</f>
        <v>3013323000</v>
      </c>
      <c r="H70" s="1" t="s">
        <v>2637</v>
      </c>
    </row>
    <row r="71" spans="1:8" x14ac:dyDescent="0.25">
      <c r="A71" s="1" t="s">
        <v>2281</v>
      </c>
      <c r="B71" s="1" t="s">
        <v>2972</v>
      </c>
      <c r="C71" s="1" t="str">
        <f>"3850 ATHERTON ROAD                                "</f>
        <v xml:space="preserve">3850 ATHERTON ROAD                                </v>
      </c>
      <c r="D71" s="1" t="s">
        <v>2282</v>
      </c>
      <c r="E71" s="1" t="s">
        <v>2663</v>
      </c>
      <c r="F71" s="1" t="str">
        <f>"95765    "</f>
        <v xml:space="preserve">95765    </v>
      </c>
      <c r="G71" s="1" t="str">
        <f>"8008728276"</f>
        <v>8008728276</v>
      </c>
      <c r="H71" s="1" t="s">
        <v>2637</v>
      </c>
    </row>
    <row r="72" spans="1:8" x14ac:dyDescent="0.25">
      <c r="A72" s="1" t="s">
        <v>2971</v>
      </c>
      <c r="B72" s="1" t="s">
        <v>2972</v>
      </c>
      <c r="C72" s="1" t="str">
        <f>"3001 DOUGLAS ST                                   "</f>
        <v xml:space="preserve">3001 DOUGLAS ST                                   </v>
      </c>
      <c r="D72" s="1" t="s">
        <v>2973</v>
      </c>
      <c r="E72" s="1" t="s">
        <v>2663</v>
      </c>
      <c r="F72" s="1" t="str">
        <f>"95661    "</f>
        <v xml:space="preserve">95661    </v>
      </c>
      <c r="G72" s="1" t="str">
        <f>"8008728276"</f>
        <v>8008728276</v>
      </c>
      <c r="H72" s="1" t="s">
        <v>2637</v>
      </c>
    </row>
    <row r="73" spans="1:8" x14ac:dyDescent="0.25">
      <c r="A73" s="1" t="str">
        <f>"919  "</f>
        <v xml:space="preserve">919  </v>
      </c>
      <c r="B73" s="1" t="s">
        <v>193</v>
      </c>
      <c r="C73" s="1" t="s">
        <v>1366</v>
      </c>
      <c r="D73" s="1" t="s">
        <v>194</v>
      </c>
      <c r="E73" s="1" t="s">
        <v>2714</v>
      </c>
      <c r="F73" s="1" t="str">
        <f>"43537    "</f>
        <v xml:space="preserve">43537    </v>
      </c>
      <c r="G73" s="1" t="str">
        <f>"8008728276"</f>
        <v>8008728276</v>
      </c>
      <c r="H73" s="1" t="s">
        <v>2637</v>
      </c>
    </row>
    <row r="74" spans="1:8" x14ac:dyDescent="0.25">
      <c r="A74" s="1" t="str">
        <f>"383  "</f>
        <v xml:space="preserve">383  </v>
      </c>
      <c r="B74" s="1" t="s">
        <v>363</v>
      </c>
      <c r="C74" s="1" t="s">
        <v>364</v>
      </c>
      <c r="D74" s="1" t="s">
        <v>2685</v>
      </c>
      <c r="E74" s="1" t="s">
        <v>2670</v>
      </c>
      <c r="F74" s="1" t="str">
        <f>"641140530"</f>
        <v>641140530</v>
      </c>
      <c r="G74" s="1" t="str">
        <f>"8772840102"</f>
        <v>8772840102</v>
      </c>
      <c r="H74" s="1" t="s">
        <v>2637</v>
      </c>
    </row>
    <row r="75" spans="1:8" x14ac:dyDescent="0.25">
      <c r="A75" s="1" t="str">
        <f>"119  "</f>
        <v xml:space="preserve">119  </v>
      </c>
      <c r="B75" s="1" t="s">
        <v>903</v>
      </c>
      <c r="C75" s="1" t="str">
        <f>"1776 AMERICAN HERITAGE LIFE DRIVE                 "</f>
        <v xml:space="preserve">1776 AMERICAN HERITAGE LIFE DRIVE                 </v>
      </c>
      <c r="D75" s="1" t="s">
        <v>2834</v>
      </c>
      <c r="E75" s="1" t="s">
        <v>2832</v>
      </c>
      <c r="F75" s="1" t="str">
        <f>"32224    "</f>
        <v xml:space="preserve">32224    </v>
      </c>
      <c r="G75" s="1" t="str">
        <f>"8005358086"</f>
        <v>8005358086</v>
      </c>
      <c r="H75" s="1" t="s">
        <v>2637</v>
      </c>
    </row>
    <row r="76" spans="1:8" x14ac:dyDescent="0.25">
      <c r="A76" s="1" t="str">
        <f>"840  "</f>
        <v xml:space="preserve">840  </v>
      </c>
      <c r="B76" s="1" t="s">
        <v>2008</v>
      </c>
      <c r="C76" s="1" t="s">
        <v>2009</v>
      </c>
      <c r="D76" s="1" t="s">
        <v>2010</v>
      </c>
      <c r="E76" s="1" t="s">
        <v>2636</v>
      </c>
      <c r="F76" s="1" t="str">
        <f>"76797    "</f>
        <v xml:space="preserve">76797    </v>
      </c>
      <c r="G76" s="1" t="str">
        <f>"8177723050"</f>
        <v>8177723050</v>
      </c>
      <c r="H76" s="1" t="s">
        <v>2637</v>
      </c>
    </row>
    <row r="77" spans="1:8" x14ac:dyDescent="0.25">
      <c r="A77" s="1" t="s">
        <v>1417</v>
      </c>
      <c r="B77" s="1" t="s">
        <v>2136</v>
      </c>
      <c r="C77" s="1" t="s">
        <v>1418</v>
      </c>
      <c r="D77" s="1" t="s">
        <v>2923</v>
      </c>
      <c r="E77" s="1" t="s">
        <v>2714</v>
      </c>
      <c r="F77" s="1" t="str">
        <f>"432162348"</f>
        <v>432162348</v>
      </c>
      <c r="G77" s="1" t="str">
        <f>"8009221245"</f>
        <v>8009221245</v>
      </c>
      <c r="H77" s="1" t="s">
        <v>1419</v>
      </c>
    </row>
    <row r="78" spans="1:8" x14ac:dyDescent="0.25">
      <c r="A78" s="1" t="s">
        <v>2135</v>
      </c>
      <c r="B78" s="1" t="s">
        <v>2136</v>
      </c>
      <c r="C78" s="1" t="s">
        <v>2137</v>
      </c>
      <c r="D78" s="1" t="s">
        <v>2923</v>
      </c>
      <c r="E78" s="1" t="s">
        <v>2714</v>
      </c>
      <c r="F78" s="1" t="str">
        <f>"43216    "</f>
        <v xml:space="preserve">43216    </v>
      </c>
      <c r="G78" s="1" t="str">
        <f>"8009221245"</f>
        <v>8009221245</v>
      </c>
      <c r="H78" s="1" t="s">
        <v>2648</v>
      </c>
    </row>
    <row r="79" spans="1:8" x14ac:dyDescent="0.25">
      <c r="A79" s="1" t="str">
        <f>"369  "</f>
        <v xml:space="preserve">369  </v>
      </c>
      <c r="B79" s="1" t="s">
        <v>886</v>
      </c>
      <c r="C79" s="1" t="s">
        <v>887</v>
      </c>
      <c r="D79" s="1" t="s">
        <v>2199</v>
      </c>
      <c r="E79" s="1" t="s">
        <v>2200</v>
      </c>
      <c r="F79" s="1" t="str">
        <f>"19899    "</f>
        <v xml:space="preserve">19899    </v>
      </c>
      <c r="G79" s="1" t="str">
        <f>"8004687077"</f>
        <v>8004687077</v>
      </c>
      <c r="H79" s="1" t="s">
        <v>2637</v>
      </c>
    </row>
    <row r="80" spans="1:8" x14ac:dyDescent="0.25">
      <c r="A80" s="1" t="str">
        <f>"167  "</f>
        <v xml:space="preserve">167  </v>
      </c>
      <c r="B80" s="1" t="s">
        <v>3007</v>
      </c>
      <c r="C80" s="1" t="s">
        <v>3008</v>
      </c>
      <c r="D80" s="1" t="s">
        <v>2977</v>
      </c>
      <c r="E80" s="1" t="s">
        <v>2858</v>
      </c>
      <c r="F80" s="1" t="str">
        <f>"98124    "</f>
        <v xml:space="preserve">98124    </v>
      </c>
      <c r="G80" s="1" t="str">
        <f>"8775039095"</f>
        <v>8775039095</v>
      </c>
      <c r="H80" s="1" t="s">
        <v>2688</v>
      </c>
    </row>
    <row r="81" spans="1:8" x14ac:dyDescent="0.25">
      <c r="A81" s="1" t="s">
        <v>1899</v>
      </c>
      <c r="B81" s="1" t="s">
        <v>1900</v>
      </c>
      <c r="C81" s="1" t="s">
        <v>1901</v>
      </c>
      <c r="D81" s="1" t="s">
        <v>2154</v>
      </c>
      <c r="E81" s="1" t="s">
        <v>2786</v>
      </c>
      <c r="F81" s="1" t="str">
        <f>"60690    "</f>
        <v xml:space="preserve">60690    </v>
      </c>
      <c r="G81" s="1" t="str">
        <f>"8882641512"</f>
        <v>8882641512</v>
      </c>
      <c r="H81" s="1" t="s">
        <v>2637</v>
      </c>
    </row>
    <row r="82" spans="1:8" x14ac:dyDescent="0.25">
      <c r="A82" s="1" t="str">
        <f>"532  "</f>
        <v xml:space="preserve">532  </v>
      </c>
      <c r="B82" s="1" t="s">
        <v>343</v>
      </c>
      <c r="C82" s="1" t="s">
        <v>344</v>
      </c>
      <c r="D82" s="1" t="s">
        <v>1245</v>
      </c>
      <c r="E82" s="1" t="s">
        <v>2667</v>
      </c>
      <c r="F82" s="1" t="str">
        <f>"543079032"</f>
        <v>543079032</v>
      </c>
      <c r="G82" s="1" t="str">
        <f>"8002325432"</f>
        <v>8002325432</v>
      </c>
      <c r="H82" s="1" t="s">
        <v>2637</v>
      </c>
    </row>
    <row r="83" spans="1:8" x14ac:dyDescent="0.25">
      <c r="A83" s="1" t="str">
        <f>"120  "</f>
        <v xml:space="preserve">120  </v>
      </c>
      <c r="B83" s="1" t="s">
        <v>2005</v>
      </c>
      <c r="C83" s="1" t="s">
        <v>2006</v>
      </c>
      <c r="D83" s="1" t="s">
        <v>2007</v>
      </c>
      <c r="E83" s="1" t="s">
        <v>2636</v>
      </c>
      <c r="F83" s="1" t="str">
        <f>"77553    "</f>
        <v xml:space="preserve">77553    </v>
      </c>
      <c r="G83" s="1" t="str">
        <f>"8008996803"</f>
        <v>8008996803</v>
      </c>
      <c r="H83" s="1" t="s">
        <v>2637</v>
      </c>
    </row>
    <row r="84" spans="1:8" x14ac:dyDescent="0.25">
      <c r="A84" s="1" t="s">
        <v>1580</v>
      </c>
      <c r="B84" s="1" t="s">
        <v>1581</v>
      </c>
      <c r="C84" s="1" t="s">
        <v>1582</v>
      </c>
      <c r="D84" s="1" t="s">
        <v>3188</v>
      </c>
      <c r="E84" s="1" t="s">
        <v>2832</v>
      </c>
      <c r="F84" s="1" t="str">
        <f>"32591    "</f>
        <v xml:space="preserve">32591    </v>
      </c>
      <c r="G84" s="1" t="str">
        <f>"8005381053"</f>
        <v>8005381053</v>
      </c>
      <c r="H84" s="1" t="s">
        <v>2637</v>
      </c>
    </row>
    <row r="85" spans="1:8" x14ac:dyDescent="0.25">
      <c r="A85" s="1" t="str">
        <f>"321  "</f>
        <v xml:space="preserve">321  </v>
      </c>
      <c r="B85" s="1" t="s">
        <v>2085</v>
      </c>
      <c r="C85" s="1" t="s">
        <v>2086</v>
      </c>
      <c r="D85" s="1" t="s">
        <v>3045</v>
      </c>
      <c r="E85" s="1" t="s">
        <v>2970</v>
      </c>
      <c r="F85" s="1" t="str">
        <f>"37422    "</f>
        <v xml:space="preserve">37422    </v>
      </c>
      <c r="G85" s="1" t="str">
        <f>"8002222798"</f>
        <v>8002222798</v>
      </c>
      <c r="H85" s="1" t="s">
        <v>2637</v>
      </c>
    </row>
    <row r="86" spans="1:8" x14ac:dyDescent="0.25">
      <c r="A86" s="1" t="str">
        <f>"321DN"</f>
        <v>321DN</v>
      </c>
      <c r="B86" s="1" t="s">
        <v>2085</v>
      </c>
      <c r="C86" s="1" t="s">
        <v>2461</v>
      </c>
      <c r="D86" s="1" t="s">
        <v>2462</v>
      </c>
      <c r="E86" s="1" t="s">
        <v>2647</v>
      </c>
      <c r="F86" s="1" t="str">
        <f>"21060    "</f>
        <v xml:space="preserve">21060    </v>
      </c>
      <c r="G86" s="1" t="str">
        <f>"8002222798"</f>
        <v>8002222798</v>
      </c>
      <c r="H86" s="1" t="s">
        <v>2637</v>
      </c>
    </row>
    <row r="87" spans="1:8" x14ac:dyDescent="0.25">
      <c r="A87" s="1" t="str">
        <f>"164  "</f>
        <v xml:space="preserve">164  </v>
      </c>
      <c r="B87" s="1" t="s">
        <v>1905</v>
      </c>
      <c r="C87" s="1" t="s">
        <v>2216</v>
      </c>
      <c r="D87" s="1" t="s">
        <v>3188</v>
      </c>
      <c r="E87" s="1" t="s">
        <v>2832</v>
      </c>
      <c r="F87" s="1" t="str">
        <f>"325910130"</f>
        <v>325910130</v>
      </c>
      <c r="G87" s="1" t="str">
        <f>"8006268913"</f>
        <v>8006268913</v>
      </c>
      <c r="H87" s="1" t="s">
        <v>2637</v>
      </c>
    </row>
    <row r="88" spans="1:8" x14ac:dyDescent="0.25">
      <c r="A88" s="1" t="s">
        <v>124</v>
      </c>
      <c r="B88" s="1" t="s">
        <v>125</v>
      </c>
      <c r="C88" s="1" t="s">
        <v>126</v>
      </c>
      <c r="D88" s="1" t="s">
        <v>3160</v>
      </c>
      <c r="E88" s="1" t="s">
        <v>3161</v>
      </c>
      <c r="F88" s="1" t="str">
        <f>"39205    "</f>
        <v xml:space="preserve">39205    </v>
      </c>
      <c r="G88" s="1" t="str">
        <f>"8002568606"</f>
        <v>8002568606</v>
      </c>
      <c r="H88" s="1" t="s">
        <v>2637</v>
      </c>
    </row>
    <row r="89" spans="1:8" x14ac:dyDescent="0.25">
      <c r="A89" s="1" t="str">
        <f>"722  "</f>
        <v xml:space="preserve">722  </v>
      </c>
      <c r="B89" s="1" t="s">
        <v>1968</v>
      </c>
      <c r="C89" s="1" t="s">
        <v>1969</v>
      </c>
      <c r="D89" s="1" t="s">
        <v>1970</v>
      </c>
      <c r="E89" s="1" t="s">
        <v>2902</v>
      </c>
      <c r="F89" s="1" t="str">
        <f>"55121    "</f>
        <v xml:space="preserve">55121    </v>
      </c>
      <c r="G89" s="1" t="str">
        <f>"8002472190"</f>
        <v>8002472190</v>
      </c>
      <c r="H89" s="1" t="s">
        <v>2637</v>
      </c>
    </row>
    <row r="90" spans="1:8" x14ac:dyDescent="0.25">
      <c r="A90" s="1" t="str">
        <f>"875  "</f>
        <v xml:space="preserve">875  </v>
      </c>
      <c r="B90" s="1" t="s">
        <v>1933</v>
      </c>
      <c r="C90" s="1" t="s">
        <v>1934</v>
      </c>
      <c r="D90" s="1" t="s">
        <v>3289</v>
      </c>
      <c r="E90" s="1" t="s">
        <v>2697</v>
      </c>
      <c r="F90" s="1" t="str">
        <f>"171061140"</f>
        <v>171061140</v>
      </c>
      <c r="G90" s="1" t="str">
        <f>"8006927338"</f>
        <v>8006927338</v>
      </c>
      <c r="H90" s="1" t="s">
        <v>2760</v>
      </c>
    </row>
    <row r="91" spans="1:8" x14ac:dyDescent="0.25">
      <c r="A91" s="1" t="str">
        <f>"503  "</f>
        <v xml:space="preserve">503  </v>
      </c>
      <c r="B91" s="1" t="s">
        <v>2390</v>
      </c>
      <c r="C91" s="1" t="str">
        <f>"509 SOUTH LENOLA RD. BLDG TWO                     "</f>
        <v xml:space="preserve">509 SOUTH LENOLA RD. BLDG TWO                     </v>
      </c>
      <c r="D91" s="1" t="s">
        <v>2391</v>
      </c>
      <c r="E91" s="1" t="s">
        <v>2821</v>
      </c>
      <c r="F91" s="1" t="str">
        <f>"08057    "</f>
        <v xml:space="preserve">08057    </v>
      </c>
      <c r="G91" s="1" t="str">
        <f>"8003597475"</f>
        <v>8003597475</v>
      </c>
      <c r="H91" s="1" t="s">
        <v>2637</v>
      </c>
    </row>
    <row r="92" spans="1:8" x14ac:dyDescent="0.25">
      <c r="A92" s="1" t="s">
        <v>282</v>
      </c>
      <c r="B92" s="1" t="s">
        <v>283</v>
      </c>
      <c r="C92" s="1" t="s">
        <v>284</v>
      </c>
      <c r="D92" s="1" t="s">
        <v>285</v>
      </c>
      <c r="E92" s="1" t="s">
        <v>2885</v>
      </c>
      <c r="F92" s="1" t="str">
        <f>"73701    "</f>
        <v xml:space="preserve">73701    </v>
      </c>
      <c r="G92" s="1" t="str">
        <f>"4052334000"</f>
        <v>4052334000</v>
      </c>
      <c r="H92" s="1" t="s">
        <v>2735</v>
      </c>
    </row>
    <row r="93" spans="1:8" x14ac:dyDescent="0.25">
      <c r="A93" s="1" t="str">
        <f>"253  "</f>
        <v xml:space="preserve">253  </v>
      </c>
      <c r="B93" s="1" t="s">
        <v>3020</v>
      </c>
      <c r="C93" s="1" t="s">
        <v>3021</v>
      </c>
      <c r="D93" s="1" t="s">
        <v>2748</v>
      </c>
      <c r="E93" s="1" t="s">
        <v>2749</v>
      </c>
      <c r="F93" s="1" t="str">
        <f>"66225    "</f>
        <v xml:space="preserve">66225    </v>
      </c>
      <c r="G93" s="1" t="str">
        <f>"8772926037"</f>
        <v>8772926037</v>
      </c>
      <c r="H93" s="1" t="s">
        <v>2637</v>
      </c>
    </row>
    <row r="94" spans="1:8" x14ac:dyDescent="0.25">
      <c r="A94" s="1" t="str">
        <f>"125  "</f>
        <v xml:space="preserve">125  </v>
      </c>
      <c r="B94" s="1" t="s">
        <v>1404</v>
      </c>
      <c r="C94" s="1" t="str">
        <f>"3220 TILLMAN DRIVE                                "</f>
        <v xml:space="preserve">3220 TILLMAN DRIVE                                </v>
      </c>
      <c r="D94" s="1" t="s">
        <v>1405</v>
      </c>
      <c r="E94" s="1" t="s">
        <v>2697</v>
      </c>
      <c r="F94" s="1" t="str">
        <f>"19020    "</f>
        <v xml:space="preserve">19020    </v>
      </c>
      <c r="G94" s="1" t="str">
        <f>"2152441600"</f>
        <v>2152441600</v>
      </c>
      <c r="H94" s="1" t="s">
        <v>2637</v>
      </c>
    </row>
    <row r="95" spans="1:8" x14ac:dyDescent="0.25">
      <c r="A95" s="1" t="str">
        <f>"275  "</f>
        <v xml:space="preserve">275  </v>
      </c>
      <c r="B95" s="1" t="s">
        <v>93</v>
      </c>
      <c r="C95" s="1" t="s">
        <v>94</v>
      </c>
      <c r="D95" s="1" t="s">
        <v>3095</v>
      </c>
      <c r="E95" s="1" t="s">
        <v>2749</v>
      </c>
      <c r="F95" s="1" t="str">
        <f>"66201    "</f>
        <v xml:space="preserve">66201    </v>
      </c>
      <c r="G95" s="1" t="str">
        <f>"9134514900"</f>
        <v>9134514900</v>
      </c>
      <c r="H95" s="1" t="s">
        <v>2637</v>
      </c>
    </row>
    <row r="96" spans="1:8" x14ac:dyDescent="0.25">
      <c r="A96" s="1" t="str">
        <f>"496  "</f>
        <v xml:space="preserve">496  </v>
      </c>
      <c r="B96" s="1" t="s">
        <v>1809</v>
      </c>
      <c r="C96" s="1" t="s">
        <v>1810</v>
      </c>
      <c r="D96" s="1" t="s">
        <v>2154</v>
      </c>
      <c r="E96" s="1" t="s">
        <v>2786</v>
      </c>
      <c r="F96" s="1" t="str">
        <f>"606049720"</f>
        <v>606049720</v>
      </c>
      <c r="G96" s="1" t="str">
        <f>"8006216360"</f>
        <v>8006216360</v>
      </c>
      <c r="H96" s="1" t="s">
        <v>2637</v>
      </c>
    </row>
    <row r="97" spans="1:8" x14ac:dyDescent="0.25">
      <c r="A97" s="1" t="s">
        <v>2146</v>
      </c>
      <c r="B97" s="1" t="s">
        <v>2147</v>
      </c>
      <c r="C97" s="1" t="s">
        <v>2148</v>
      </c>
      <c r="D97" s="1" t="s">
        <v>2701</v>
      </c>
      <c r="E97" s="1" t="s">
        <v>2660</v>
      </c>
      <c r="F97" s="1" t="str">
        <f>"29210    "</f>
        <v xml:space="preserve">29210    </v>
      </c>
      <c r="G97" s="1" t="str">
        <f>"8663213947"</f>
        <v>8663213947</v>
      </c>
      <c r="H97" s="1" t="s">
        <v>2795</v>
      </c>
    </row>
    <row r="98" spans="1:8" x14ac:dyDescent="0.25">
      <c r="A98" s="1" t="s">
        <v>1201</v>
      </c>
      <c r="B98" s="1" t="s">
        <v>1202</v>
      </c>
      <c r="C98" s="1" t="str">
        <f>"762 SOUTH US HWY.  ONE PMB 224                    "</f>
        <v xml:space="preserve">762 SOUTH US HWY.  ONE PMB 224                    </v>
      </c>
      <c r="D98" s="1" t="s">
        <v>1203</v>
      </c>
      <c r="E98" s="1" t="s">
        <v>2832</v>
      </c>
      <c r="F98" s="1" t="str">
        <f>"32962    "</f>
        <v xml:space="preserve">32962    </v>
      </c>
      <c r="G98" s="1" t="str">
        <f>"8003089823"</f>
        <v>8003089823</v>
      </c>
      <c r="H98" s="1" t="s">
        <v>2795</v>
      </c>
    </row>
    <row r="99" spans="1:8" x14ac:dyDescent="0.25">
      <c r="A99" s="1" t="str">
        <f>"557  "</f>
        <v xml:space="preserve">557  </v>
      </c>
      <c r="B99" s="1" t="s">
        <v>2092</v>
      </c>
      <c r="C99" s="1" t="s">
        <v>2093</v>
      </c>
      <c r="D99" s="1" t="s">
        <v>2094</v>
      </c>
      <c r="E99" s="1" t="s">
        <v>2706</v>
      </c>
      <c r="F99" s="1" t="str">
        <f>"46082    "</f>
        <v xml:space="preserve">46082    </v>
      </c>
      <c r="G99" s="1" t="str">
        <f>"8666994186"</f>
        <v>8666994186</v>
      </c>
      <c r="H99" s="1" t="s">
        <v>2637</v>
      </c>
    </row>
    <row r="100" spans="1:8" x14ac:dyDescent="0.25">
      <c r="A100" s="1" t="s">
        <v>949</v>
      </c>
      <c r="B100" s="1" t="s">
        <v>1785</v>
      </c>
      <c r="C100" s="1" t="s">
        <v>1786</v>
      </c>
      <c r="D100" s="1" t="s">
        <v>1787</v>
      </c>
      <c r="E100" s="1" t="s">
        <v>3164</v>
      </c>
      <c r="F100" s="1" t="str">
        <f>"234661010"</f>
        <v>234661010</v>
      </c>
      <c r="G100" s="1" t="str">
        <f>"8006004441"</f>
        <v>8006004441</v>
      </c>
      <c r="H100" s="1" t="s">
        <v>3195</v>
      </c>
    </row>
    <row r="101" spans="1:8" x14ac:dyDescent="0.25">
      <c r="A101" s="1" t="s">
        <v>1784</v>
      </c>
      <c r="B101" s="1" t="s">
        <v>1785</v>
      </c>
      <c r="C101" s="1" t="s">
        <v>1786</v>
      </c>
      <c r="D101" s="1" t="s">
        <v>1787</v>
      </c>
      <c r="E101" s="1" t="s">
        <v>3164</v>
      </c>
      <c r="F101" s="1" t="str">
        <f>"234661010"</f>
        <v>234661010</v>
      </c>
      <c r="G101" s="1" t="str">
        <f>"8006004441"</f>
        <v>8006004441</v>
      </c>
      <c r="H101" s="1" t="s">
        <v>3195</v>
      </c>
    </row>
    <row r="102" spans="1:8" x14ac:dyDescent="0.25">
      <c r="A102" s="1" t="s">
        <v>358</v>
      </c>
      <c r="B102" s="1" t="s">
        <v>1785</v>
      </c>
      <c r="C102" s="1" t="s">
        <v>1786</v>
      </c>
      <c r="D102" s="1" t="s">
        <v>1787</v>
      </c>
      <c r="E102" s="1" t="s">
        <v>3164</v>
      </c>
      <c r="F102" s="1" t="str">
        <f>"234661010"</f>
        <v>234661010</v>
      </c>
      <c r="G102" s="1" t="str">
        <f>"8006004441"</f>
        <v>8006004441</v>
      </c>
      <c r="H102" s="1" t="s">
        <v>2637</v>
      </c>
    </row>
    <row r="103" spans="1:8" x14ac:dyDescent="0.25">
      <c r="A103" s="1" t="s">
        <v>190</v>
      </c>
      <c r="B103" s="1" t="s">
        <v>191</v>
      </c>
      <c r="C103" s="1" t="s">
        <v>192</v>
      </c>
      <c r="D103" s="1" t="s">
        <v>1787</v>
      </c>
      <c r="E103" s="1" t="s">
        <v>3164</v>
      </c>
      <c r="F103" s="1" t="str">
        <f>"234661789"</f>
        <v>234661789</v>
      </c>
      <c r="G103" s="1" t="str">
        <f>"8006004441"</f>
        <v>8006004441</v>
      </c>
      <c r="H103" s="1" t="s">
        <v>2688</v>
      </c>
    </row>
    <row r="104" spans="1:8" x14ac:dyDescent="0.25">
      <c r="A104" s="1" t="str">
        <f>"284  "</f>
        <v xml:space="preserve">284  </v>
      </c>
      <c r="B104" s="1" t="s">
        <v>1951</v>
      </c>
      <c r="C104" s="1" t="str">
        <f>"720 BLAIR ROAD                                    "</f>
        <v xml:space="preserve">720 BLAIR ROAD                                    </v>
      </c>
      <c r="D104" s="1" t="s">
        <v>1952</v>
      </c>
      <c r="E104" s="1" t="s">
        <v>2697</v>
      </c>
      <c r="F104" s="1" t="str">
        <f>"19044    "</f>
        <v xml:space="preserve">19044    </v>
      </c>
      <c r="G104" s="1" t="str">
        <f>"8003454017"</f>
        <v>8003454017</v>
      </c>
      <c r="H104" s="1" t="s">
        <v>2637</v>
      </c>
    </row>
    <row r="105" spans="1:8" x14ac:dyDescent="0.25">
      <c r="A105" s="1" t="str">
        <f>"110  "</f>
        <v xml:space="preserve">110  </v>
      </c>
      <c r="B105" s="1" t="s">
        <v>1660</v>
      </c>
      <c r="C105" s="1" t="s">
        <v>1661</v>
      </c>
      <c r="D105" s="1" t="s">
        <v>2752</v>
      </c>
      <c r="E105" s="1" t="s">
        <v>2697</v>
      </c>
      <c r="F105" s="1" t="str">
        <f>"191011574"</f>
        <v>191011574</v>
      </c>
      <c r="G105" s="1" t="str">
        <f>"8886323862"</f>
        <v>8886323862</v>
      </c>
      <c r="H105" s="1" t="s">
        <v>2688</v>
      </c>
    </row>
    <row r="106" spans="1:8" x14ac:dyDescent="0.25">
      <c r="A106" s="1" t="str">
        <f>"894  "</f>
        <v xml:space="preserve">894  </v>
      </c>
      <c r="B106" s="1" t="s">
        <v>2789</v>
      </c>
      <c r="C106" s="1" t="s">
        <v>2790</v>
      </c>
      <c r="D106" s="1" t="s">
        <v>2791</v>
      </c>
      <c r="E106" s="1" t="s">
        <v>2744</v>
      </c>
      <c r="F106" s="1" t="str">
        <f>"40742    "</f>
        <v xml:space="preserve">40742    </v>
      </c>
      <c r="G106" s="1" t="str">
        <f>"8889917200"</f>
        <v>8889917200</v>
      </c>
      <c r="H106" s="1" t="s">
        <v>2648</v>
      </c>
    </row>
    <row r="107" spans="1:8" x14ac:dyDescent="0.25">
      <c r="A107" s="1" t="s">
        <v>1392</v>
      </c>
      <c r="B107" s="1" t="s">
        <v>1393</v>
      </c>
      <c r="C107" s="1" t="str">
        <f>"4301 DARROW RD.  STE. 4200                        "</f>
        <v xml:space="preserve">4301 DARROW RD.  STE. 4200                        </v>
      </c>
      <c r="D107" s="1" t="s">
        <v>1394</v>
      </c>
      <c r="E107" s="1" t="s">
        <v>2714</v>
      </c>
      <c r="F107" s="1" t="str">
        <f>"44224    "</f>
        <v xml:space="preserve">44224    </v>
      </c>
      <c r="G107" s="1" t="str">
        <f>"8006816912"</f>
        <v>8006816912</v>
      </c>
      <c r="H107" s="1" t="s">
        <v>2637</v>
      </c>
    </row>
    <row r="108" spans="1:8" x14ac:dyDescent="0.25">
      <c r="A108" s="1" t="str">
        <f>"210  "</f>
        <v xml:space="preserve">210  </v>
      </c>
      <c r="B108" s="1" t="s">
        <v>1249</v>
      </c>
      <c r="C108" s="1" t="s">
        <v>1250</v>
      </c>
      <c r="D108" s="1" t="s">
        <v>1381</v>
      </c>
      <c r="E108" s="1" t="s">
        <v>2862</v>
      </c>
      <c r="F108" s="1" t="str">
        <f>"68501    "</f>
        <v xml:space="preserve">68501    </v>
      </c>
      <c r="G108" s="1" t="str">
        <f>"8002559678"</f>
        <v>8002559678</v>
      </c>
      <c r="H108" s="1" t="s">
        <v>2637</v>
      </c>
    </row>
    <row r="109" spans="1:8" x14ac:dyDescent="0.25">
      <c r="A109" s="1" t="s">
        <v>1259</v>
      </c>
      <c r="B109" s="1" t="s">
        <v>1260</v>
      </c>
      <c r="C109" s="1" t="s">
        <v>1261</v>
      </c>
      <c r="D109" s="1" t="s">
        <v>3160</v>
      </c>
      <c r="E109" s="1" t="s">
        <v>3161</v>
      </c>
      <c r="F109" s="1" t="str">
        <f>"93236    "</f>
        <v xml:space="preserve">93236    </v>
      </c>
      <c r="G109" s="1" t="str">
        <f>"8888882519"</f>
        <v>8888882519</v>
      </c>
      <c r="H109" s="1" t="s">
        <v>2637</v>
      </c>
    </row>
    <row r="110" spans="1:8" x14ac:dyDescent="0.25">
      <c r="A110" s="1" t="str">
        <f>"653  "</f>
        <v xml:space="preserve">653  </v>
      </c>
      <c r="B110" s="1" t="s">
        <v>1858</v>
      </c>
      <c r="C110" s="1" t="str">
        <f>"-                                                 "</f>
        <v xml:space="preserve">-                                                 </v>
      </c>
      <c r="D110" s="1" t="str">
        <f>"-                                      "</f>
        <v xml:space="preserve">-                                      </v>
      </c>
      <c r="E110" s="1" t="str">
        <f>"- "</f>
        <v xml:space="preserve">- </v>
      </c>
      <c r="F110" s="1" t="str">
        <f>"-        "</f>
        <v xml:space="preserve">-        </v>
      </c>
      <c r="G110" s="1" t="s">
        <v>2637</v>
      </c>
      <c r="H110" s="1" t="s">
        <v>2637</v>
      </c>
    </row>
    <row r="111" spans="1:8" x14ac:dyDescent="0.25">
      <c r="A111" s="1" t="str">
        <f>"330  "</f>
        <v xml:space="preserve">330  </v>
      </c>
      <c r="B111" s="1" t="s">
        <v>2507</v>
      </c>
      <c r="C111" s="1" t="s">
        <v>2508</v>
      </c>
      <c r="D111" s="1" t="s">
        <v>3157</v>
      </c>
      <c r="E111" s="1" t="s">
        <v>2970</v>
      </c>
      <c r="F111" s="1" t="str">
        <f>"37234    "</f>
        <v xml:space="preserve">37234    </v>
      </c>
      <c r="G111" s="1" t="str">
        <f>"2147200511"</f>
        <v>2147200511</v>
      </c>
      <c r="H111" s="1" t="s">
        <v>2637</v>
      </c>
    </row>
    <row r="112" spans="1:8" x14ac:dyDescent="0.25">
      <c r="A112" s="1" t="s">
        <v>372</v>
      </c>
      <c r="B112" s="1" t="s">
        <v>2387</v>
      </c>
      <c r="C112" s="1" t="s">
        <v>373</v>
      </c>
      <c r="D112" s="1" t="s">
        <v>2717</v>
      </c>
      <c r="E112" s="1" t="s">
        <v>2681</v>
      </c>
      <c r="F112" s="1" t="str">
        <f>"30348    "</f>
        <v xml:space="preserve">30348    </v>
      </c>
      <c r="G112" s="1" t="str">
        <f>"8006224822"</f>
        <v>8006224822</v>
      </c>
      <c r="H112" s="1" t="s">
        <v>2637</v>
      </c>
    </row>
    <row r="113" spans="1:8" x14ac:dyDescent="0.25">
      <c r="A113" s="1" t="s">
        <v>2386</v>
      </c>
      <c r="B113" s="1" t="s">
        <v>2387</v>
      </c>
      <c r="C113" s="1" t="s">
        <v>3110</v>
      </c>
      <c r="D113" s="1" t="s">
        <v>2985</v>
      </c>
      <c r="E113" s="1" t="s">
        <v>2636</v>
      </c>
      <c r="F113" s="1" t="str">
        <f>"78265    "</f>
        <v xml:space="preserve">78265    </v>
      </c>
      <c r="G113" s="1" t="str">
        <f>"8006224822"</f>
        <v>8006224822</v>
      </c>
      <c r="H113" s="1" t="s">
        <v>2637</v>
      </c>
    </row>
    <row r="114" spans="1:8" x14ac:dyDescent="0.25">
      <c r="A114" s="1" t="s">
        <v>2450</v>
      </c>
      <c r="B114" s="1" t="s">
        <v>2387</v>
      </c>
      <c r="C114" s="1" t="s">
        <v>2451</v>
      </c>
      <c r="D114" s="1" t="s">
        <v>2743</v>
      </c>
      <c r="E114" s="1" t="s">
        <v>2744</v>
      </c>
      <c r="F114" s="1" t="str">
        <f>"40233    "</f>
        <v xml:space="preserve">40233    </v>
      </c>
      <c r="G114" s="1" t="str">
        <f>"8006224822"</f>
        <v>8006224822</v>
      </c>
      <c r="H114" s="1" t="s">
        <v>2637</v>
      </c>
    </row>
    <row r="115" spans="1:8" x14ac:dyDescent="0.25">
      <c r="A115" s="1" t="str">
        <f>"529  "</f>
        <v xml:space="preserve">529  </v>
      </c>
      <c r="B115" s="1" t="s">
        <v>2866</v>
      </c>
      <c r="C115" s="1" t="str">
        <f>"3575 KROGER BLVD.,SUITE 400                       "</f>
        <v xml:space="preserve">3575 KROGER BLVD.,SUITE 400                       </v>
      </c>
      <c r="D115" s="1" t="s">
        <v>2867</v>
      </c>
      <c r="E115" s="1" t="s">
        <v>2681</v>
      </c>
      <c r="F115" s="1" t="str">
        <f>"30316    "</f>
        <v xml:space="preserve">30316    </v>
      </c>
      <c r="G115" s="1" t="str">
        <f>"8008881966"</f>
        <v>8008881966</v>
      </c>
      <c r="H115" s="1" t="s">
        <v>2637</v>
      </c>
    </row>
    <row r="116" spans="1:8" x14ac:dyDescent="0.25">
      <c r="A116" s="1" t="str">
        <f>"579  "</f>
        <v xml:space="preserve">579  </v>
      </c>
      <c r="B116" s="1" t="s">
        <v>1001</v>
      </c>
      <c r="C116" s="1" t="s">
        <v>1002</v>
      </c>
      <c r="D116" s="1" t="s">
        <v>3070</v>
      </c>
      <c r="E116" s="1" t="s">
        <v>2714</v>
      </c>
      <c r="F116" s="1" t="str">
        <f>"45250    "</f>
        <v xml:space="preserve">45250    </v>
      </c>
      <c r="G116" s="1" t="str">
        <f>"8006620210"</f>
        <v>8006620210</v>
      </c>
      <c r="H116" s="1" t="s">
        <v>1003</v>
      </c>
    </row>
    <row r="117" spans="1:8" x14ac:dyDescent="0.25">
      <c r="A117" s="1" t="s">
        <v>1082</v>
      </c>
      <c r="B117" s="1" t="s">
        <v>1083</v>
      </c>
      <c r="C117" s="1" t="s">
        <v>1084</v>
      </c>
      <c r="D117" s="1" t="s">
        <v>2743</v>
      </c>
      <c r="E117" s="1" t="s">
        <v>2744</v>
      </c>
      <c r="F117" s="1" t="str">
        <f>"402337180"</f>
        <v>402337180</v>
      </c>
      <c r="G117" s="1" t="str">
        <f>"8882909160"</f>
        <v>8882909160</v>
      </c>
      <c r="H117" s="1" t="s">
        <v>2795</v>
      </c>
    </row>
    <row r="118" spans="1:8" x14ac:dyDescent="0.25">
      <c r="A118" s="1" t="str">
        <f>"171  "</f>
        <v xml:space="preserve">171  </v>
      </c>
      <c r="B118" s="1" t="s">
        <v>2249</v>
      </c>
      <c r="C118" s="1" t="s">
        <v>2250</v>
      </c>
      <c r="D118" s="1" t="s">
        <v>2036</v>
      </c>
      <c r="E118" s="1" t="s">
        <v>2677</v>
      </c>
      <c r="F118" s="1" t="str">
        <f>"27102    "</f>
        <v xml:space="preserve">27102    </v>
      </c>
      <c r="G118" s="1" t="str">
        <f>"8003683804"</f>
        <v>8003683804</v>
      </c>
      <c r="H118" s="1" t="s">
        <v>2637</v>
      </c>
    </row>
    <row r="119" spans="1:8" x14ac:dyDescent="0.25">
      <c r="A119" s="1" t="str">
        <f>"523  "</f>
        <v xml:space="preserve">523  </v>
      </c>
      <c r="B119" s="1" t="s">
        <v>101</v>
      </c>
      <c r="C119" s="1" t="s">
        <v>102</v>
      </c>
      <c r="D119" s="1" t="s">
        <v>1634</v>
      </c>
      <c r="E119" s="1" t="s">
        <v>2773</v>
      </c>
      <c r="F119" s="1" t="str">
        <f>"121108006"</f>
        <v>121108006</v>
      </c>
      <c r="G119" s="1" t="str">
        <f>"8008333650"</f>
        <v>8008333650</v>
      </c>
      <c r="H119" s="1" t="s">
        <v>2637</v>
      </c>
    </row>
    <row r="120" spans="1:8" x14ac:dyDescent="0.25">
      <c r="A120" s="1" t="str">
        <f>"705  "</f>
        <v xml:space="preserve">705  </v>
      </c>
      <c r="B120" s="1" t="s">
        <v>832</v>
      </c>
      <c r="C120" s="1" t="s">
        <v>833</v>
      </c>
      <c r="D120" s="1" t="s">
        <v>2755</v>
      </c>
      <c r="E120" s="1" t="s">
        <v>2647</v>
      </c>
      <c r="F120" s="1" t="str">
        <f>"20849    "</f>
        <v xml:space="preserve">20849    </v>
      </c>
      <c r="G120" s="1" t="str">
        <f>"8002218699"</f>
        <v>8002218699</v>
      </c>
      <c r="H120" s="1" t="s">
        <v>2637</v>
      </c>
    </row>
    <row r="121" spans="1:8" x14ac:dyDescent="0.25">
      <c r="A121" s="1" t="s">
        <v>1960</v>
      </c>
      <c r="B121" s="1" t="s">
        <v>1961</v>
      </c>
      <c r="C121" s="1" t="s">
        <v>2356</v>
      </c>
      <c r="D121" s="1" t="s">
        <v>2357</v>
      </c>
      <c r="E121" s="1" t="s">
        <v>2663</v>
      </c>
      <c r="F121" s="1" t="str">
        <f>"91723    "</f>
        <v xml:space="preserve">91723    </v>
      </c>
      <c r="G121" s="1" t="str">
        <f>"8007756490"</f>
        <v>8007756490</v>
      </c>
      <c r="H121" s="1" t="s">
        <v>1962</v>
      </c>
    </row>
    <row r="122" spans="1:8" x14ac:dyDescent="0.25">
      <c r="A122" s="1" t="str">
        <f>"816  "</f>
        <v xml:space="preserve">816  </v>
      </c>
      <c r="B122" s="1" t="s">
        <v>891</v>
      </c>
      <c r="C122" s="1" t="s">
        <v>2356</v>
      </c>
      <c r="D122" s="1" t="s">
        <v>2357</v>
      </c>
      <c r="E122" s="1" t="s">
        <v>2663</v>
      </c>
      <c r="F122" s="1" t="str">
        <f>"91723    "</f>
        <v xml:space="preserve">91723    </v>
      </c>
      <c r="G122" s="1" t="str">
        <f>"8005738597"</f>
        <v>8005738597</v>
      </c>
      <c r="H122" s="1" t="s">
        <v>2795</v>
      </c>
    </row>
    <row r="123" spans="1:8" x14ac:dyDescent="0.25">
      <c r="A123" s="1" t="str">
        <f>"981  "</f>
        <v xml:space="preserve">981  </v>
      </c>
      <c r="B123" s="1" t="s">
        <v>1687</v>
      </c>
      <c r="C123" s="1" t="s">
        <v>1688</v>
      </c>
      <c r="D123" s="1" t="s">
        <v>2685</v>
      </c>
      <c r="E123" s="1" t="s">
        <v>2670</v>
      </c>
      <c r="F123" s="1" t="str">
        <f>"64141    "</f>
        <v xml:space="preserve">64141    </v>
      </c>
      <c r="G123" s="1" t="str">
        <f>"8005227487"</f>
        <v>8005227487</v>
      </c>
      <c r="H123" s="1" t="s">
        <v>2637</v>
      </c>
    </row>
    <row r="124" spans="1:8" x14ac:dyDescent="0.25">
      <c r="A124" s="1" t="s">
        <v>392</v>
      </c>
      <c r="B124" s="1" t="s">
        <v>393</v>
      </c>
      <c r="C124" s="1" t="s">
        <v>394</v>
      </c>
      <c r="D124" s="1" t="s">
        <v>395</v>
      </c>
      <c r="E124" s="1" t="s">
        <v>2809</v>
      </c>
      <c r="F124" s="1" t="str">
        <f>"850622909"</f>
        <v>850622909</v>
      </c>
      <c r="G124" s="1" t="str">
        <f>"6022318855"</f>
        <v>6022318855</v>
      </c>
      <c r="H124" s="1" t="s">
        <v>2760</v>
      </c>
    </row>
    <row r="125" spans="1:8" x14ac:dyDescent="0.25">
      <c r="A125" s="1" t="s">
        <v>2940</v>
      </c>
      <c r="B125" s="1" t="s">
        <v>2941</v>
      </c>
      <c r="C125" s="1" t="s">
        <v>2942</v>
      </c>
      <c r="D125" s="1" t="s">
        <v>2943</v>
      </c>
      <c r="E125" s="1" t="s">
        <v>2944</v>
      </c>
      <c r="F125" s="1" t="str">
        <f>"72203    "</f>
        <v xml:space="preserve">72203    </v>
      </c>
      <c r="G125" s="1" t="str">
        <f>"5013782010"</f>
        <v>5013782010</v>
      </c>
      <c r="H125" s="1" t="s">
        <v>2637</v>
      </c>
    </row>
    <row r="126" spans="1:8" x14ac:dyDescent="0.25">
      <c r="A126" s="1" t="s">
        <v>1601</v>
      </c>
      <c r="B126" s="1" t="s">
        <v>1602</v>
      </c>
      <c r="C126" s="1" t="str">
        <f>"340 QUADRANGLE DR                                 "</f>
        <v xml:space="preserve">340 QUADRANGLE DR                                 </v>
      </c>
      <c r="D126" s="1" t="s">
        <v>1603</v>
      </c>
      <c r="E126" s="1" t="s">
        <v>2786</v>
      </c>
      <c r="F126" s="1" t="str">
        <f>"60440    "</f>
        <v xml:space="preserve">60440    </v>
      </c>
      <c r="G126" s="1" t="str">
        <f>"8009687222"</f>
        <v>8009687222</v>
      </c>
      <c r="H126" s="1" t="s">
        <v>2637</v>
      </c>
    </row>
    <row r="127" spans="1:8" x14ac:dyDescent="0.25">
      <c r="A127" s="1" t="str">
        <f>"972  "</f>
        <v xml:space="preserve">972  </v>
      </c>
      <c r="B127" s="1" t="s">
        <v>2306</v>
      </c>
      <c r="C127" s="1" t="s">
        <v>2307</v>
      </c>
      <c r="D127" s="1" t="s">
        <v>2643</v>
      </c>
      <c r="E127" s="1" t="s">
        <v>2644</v>
      </c>
      <c r="F127" s="1" t="str">
        <f>"49512    "</f>
        <v xml:space="preserve">49512    </v>
      </c>
      <c r="G127" s="1" t="str">
        <f>"8009682449"</f>
        <v>8009682449</v>
      </c>
      <c r="H127" s="1" t="s">
        <v>2637</v>
      </c>
    </row>
    <row r="128" spans="1:8" x14ac:dyDescent="0.25">
      <c r="A128" s="1" t="str">
        <f>"505  "</f>
        <v xml:space="preserve">505  </v>
      </c>
      <c r="B128" s="1" t="s">
        <v>2090</v>
      </c>
      <c r="C128" s="1" t="s">
        <v>2091</v>
      </c>
      <c r="D128" s="1" t="s">
        <v>2652</v>
      </c>
      <c r="E128" s="1" t="s">
        <v>2647</v>
      </c>
      <c r="F128" s="1" t="str">
        <f>"212857806"</f>
        <v>212857806</v>
      </c>
      <c r="G128" s="1" t="str">
        <f>"8006382972"</f>
        <v>8006382972</v>
      </c>
      <c r="H128" s="1" t="s">
        <v>2637</v>
      </c>
    </row>
    <row r="129" spans="1:8" x14ac:dyDescent="0.25">
      <c r="A129" s="1" t="str">
        <f>"898  "</f>
        <v xml:space="preserve">898  </v>
      </c>
      <c r="B129" s="1" t="s">
        <v>1402</v>
      </c>
      <c r="C129" s="1" t="s">
        <v>1403</v>
      </c>
      <c r="D129" s="1" t="s">
        <v>2755</v>
      </c>
      <c r="E129" s="1" t="s">
        <v>2647</v>
      </c>
      <c r="F129" s="1" t="str">
        <f>"20847    "</f>
        <v xml:space="preserve">20847    </v>
      </c>
      <c r="G129" s="1" t="str">
        <f>"8006382610"</f>
        <v>8006382610</v>
      </c>
      <c r="H129" s="1" t="s">
        <v>2637</v>
      </c>
    </row>
    <row r="130" spans="1:8" x14ac:dyDescent="0.25">
      <c r="A130" s="1" t="str">
        <f>"934  "</f>
        <v xml:space="preserve">934  </v>
      </c>
      <c r="B130" s="1" t="s">
        <v>0</v>
      </c>
      <c r="C130" s="1" t="s">
        <v>1403</v>
      </c>
      <c r="D130" s="1" t="s">
        <v>2755</v>
      </c>
      <c r="E130" s="1" t="s">
        <v>2647</v>
      </c>
      <c r="F130" s="1" t="str">
        <f>"20847    "</f>
        <v xml:space="preserve">20847    </v>
      </c>
      <c r="G130" s="1" t="str">
        <f>"8006382610"</f>
        <v>8006382610</v>
      </c>
      <c r="H130" s="1" t="s">
        <v>2637</v>
      </c>
    </row>
    <row r="131" spans="1:8" x14ac:dyDescent="0.25">
      <c r="A131" s="1" t="str">
        <f>"458  "</f>
        <v xml:space="preserve">458  </v>
      </c>
      <c r="B131" s="1" t="s">
        <v>1409</v>
      </c>
      <c r="C131" s="1" t="s">
        <v>1410</v>
      </c>
      <c r="D131" s="1" t="s">
        <v>2906</v>
      </c>
      <c r="E131" s="1" t="s">
        <v>2677</v>
      </c>
      <c r="F131" s="1" t="str">
        <f>"282668587"</f>
        <v>282668587</v>
      </c>
      <c r="G131" s="1" t="str">
        <f>"8006340069"</f>
        <v>8006340069</v>
      </c>
      <c r="H131" s="1" t="s">
        <v>2688</v>
      </c>
    </row>
    <row r="132" spans="1:8" x14ac:dyDescent="0.25">
      <c r="A132" s="1" t="str">
        <f>"386  "</f>
        <v xml:space="preserve">386  </v>
      </c>
      <c r="B132" s="1" t="s">
        <v>2266</v>
      </c>
      <c r="C132" s="1" t="s">
        <v>2267</v>
      </c>
      <c r="D132" s="1" t="s">
        <v>3263</v>
      </c>
      <c r="E132" s="1" t="s">
        <v>3264</v>
      </c>
      <c r="F132" s="1" t="str">
        <f>"527332806"</f>
        <v>527332806</v>
      </c>
      <c r="G132" s="1" t="str">
        <f>"8005537654"</f>
        <v>8005537654</v>
      </c>
      <c r="H132" s="1" t="s">
        <v>2268</v>
      </c>
    </row>
    <row r="133" spans="1:8" x14ac:dyDescent="0.25">
      <c r="A133" s="1" t="str">
        <f>"386DN"</f>
        <v>386DN</v>
      </c>
      <c r="B133" s="1" t="s">
        <v>2266</v>
      </c>
      <c r="C133" s="1" t="s">
        <v>1561</v>
      </c>
      <c r="D133" s="1" t="s">
        <v>2854</v>
      </c>
      <c r="E133" s="1" t="s">
        <v>2636</v>
      </c>
      <c r="F133" s="1" t="str">
        <f>"79998    "</f>
        <v xml:space="preserve">79998    </v>
      </c>
      <c r="G133" s="1" t="str">
        <f>"8004427742"</f>
        <v>8004427742</v>
      </c>
      <c r="H133" s="1" t="s">
        <v>1562</v>
      </c>
    </row>
    <row r="134" spans="1:8" x14ac:dyDescent="0.25">
      <c r="A134" s="1" t="str">
        <f>"448  "</f>
        <v xml:space="preserve">448  </v>
      </c>
      <c r="B134" s="1" t="s">
        <v>695</v>
      </c>
      <c r="C134" s="1" t="s">
        <v>696</v>
      </c>
      <c r="D134" s="1" t="s">
        <v>697</v>
      </c>
      <c r="E134" s="1" t="s">
        <v>2647</v>
      </c>
      <c r="F134" s="1" t="str">
        <f>"63042    "</f>
        <v xml:space="preserve">63042    </v>
      </c>
      <c r="G134" s="1" t="str">
        <f>"8005537654"</f>
        <v>8005537654</v>
      </c>
      <c r="H134" s="1" t="s">
        <v>698</v>
      </c>
    </row>
    <row r="135" spans="1:8" x14ac:dyDescent="0.25">
      <c r="A135" s="1" t="str">
        <f>"451  "</f>
        <v xml:space="preserve">451  </v>
      </c>
      <c r="B135" s="1" t="s">
        <v>206</v>
      </c>
      <c r="C135" s="1" t="str">
        <f>"340 QUANRINGLE BLVD                               "</f>
        <v xml:space="preserve">340 QUANRINGLE BLVD                               </v>
      </c>
      <c r="D135" s="1" t="s">
        <v>207</v>
      </c>
      <c r="E135" s="1" t="s">
        <v>2786</v>
      </c>
      <c r="F135" s="1" t="str">
        <f>"60440    "</f>
        <v xml:space="preserve">60440    </v>
      </c>
      <c r="G135" s="1" t="str">
        <f>"8007597422"</f>
        <v>8007597422</v>
      </c>
      <c r="H135" s="1" t="s">
        <v>2637</v>
      </c>
    </row>
    <row r="136" spans="1:8" x14ac:dyDescent="0.25">
      <c r="A136" s="1" t="str">
        <f>"105  "</f>
        <v xml:space="preserve">105  </v>
      </c>
      <c r="B136" s="1" t="s">
        <v>226</v>
      </c>
      <c r="C136" s="1" t="s">
        <v>227</v>
      </c>
      <c r="D136" s="1" t="s">
        <v>2710</v>
      </c>
      <c r="E136" s="1" t="s">
        <v>2660</v>
      </c>
      <c r="F136" s="1" t="str">
        <f>"29602    "</f>
        <v xml:space="preserve">29602    </v>
      </c>
      <c r="G136" s="1" t="str">
        <f>"8646098111"</f>
        <v>8646098111</v>
      </c>
      <c r="H136" s="1" t="s">
        <v>2637</v>
      </c>
    </row>
    <row r="137" spans="1:8" x14ac:dyDescent="0.25">
      <c r="A137" s="1" t="str">
        <f>"971  "</f>
        <v xml:space="preserve">971  </v>
      </c>
      <c r="B137" s="1" t="s">
        <v>3116</v>
      </c>
      <c r="C137" s="1" t="str">
        <f>"135 BEAVER STREET                                 "</f>
        <v xml:space="preserve">135 BEAVER STREET                                 </v>
      </c>
      <c r="D137" s="1" t="s">
        <v>3117</v>
      </c>
      <c r="E137" s="1" t="s">
        <v>3118</v>
      </c>
      <c r="F137" s="1" t="str">
        <f>"02452    "</f>
        <v xml:space="preserve">02452    </v>
      </c>
      <c r="G137" s="1" t="str">
        <f>"8005481256"</f>
        <v>8005481256</v>
      </c>
      <c r="H137" s="1" t="s">
        <v>2637</v>
      </c>
    </row>
    <row r="138" spans="1:8" x14ac:dyDescent="0.25">
      <c r="A138" s="1" t="s">
        <v>908</v>
      </c>
      <c r="B138" s="1" t="s">
        <v>909</v>
      </c>
      <c r="C138" s="1" t="str">
        <f>"100 AUBURN AVENUE, NE                             "</f>
        <v xml:space="preserve">100 AUBURN AVENUE, NE                             </v>
      </c>
      <c r="D138" s="1" t="s">
        <v>2717</v>
      </c>
      <c r="E138" s="1" t="s">
        <v>2681</v>
      </c>
      <c r="F138" s="1" t="str">
        <f>"30303    "</f>
        <v xml:space="preserve">30303    </v>
      </c>
      <c r="G138" s="1" t="str">
        <f>"4046592100"</f>
        <v>4046592100</v>
      </c>
      <c r="H138" s="1" t="s">
        <v>2637</v>
      </c>
    </row>
    <row r="139" spans="1:8" x14ac:dyDescent="0.25">
      <c r="A139" s="1" t="str">
        <f>"122  "</f>
        <v xml:space="preserve">122  </v>
      </c>
      <c r="B139" s="1" t="s">
        <v>1692</v>
      </c>
      <c r="C139" s="1" t="s">
        <v>1693</v>
      </c>
      <c r="D139" s="1" t="s">
        <v>3013</v>
      </c>
      <c r="E139" s="1" t="s">
        <v>2660</v>
      </c>
      <c r="F139" s="1" t="str">
        <f>"294130010"</f>
        <v>294130010</v>
      </c>
      <c r="G139" s="1" t="str">
        <f>"8437638680"</f>
        <v>8437638680</v>
      </c>
      <c r="H139" s="1" t="s">
        <v>2637</v>
      </c>
    </row>
    <row r="140" spans="1:8" x14ac:dyDescent="0.25">
      <c r="A140" s="1" t="s">
        <v>955</v>
      </c>
      <c r="B140" s="1" t="s">
        <v>956</v>
      </c>
      <c r="C140" s="1" t="s">
        <v>957</v>
      </c>
      <c r="D140" s="1" t="s">
        <v>958</v>
      </c>
      <c r="E140" s="1" t="s">
        <v>2821</v>
      </c>
      <c r="F140" s="1" t="str">
        <f>"08037    "</f>
        <v xml:space="preserve">08037    </v>
      </c>
      <c r="G140" s="1" t="str">
        <f>"8883282287"</f>
        <v>8883282287</v>
      </c>
      <c r="H140" s="1" t="s">
        <v>2637</v>
      </c>
    </row>
    <row r="141" spans="1:8" x14ac:dyDescent="0.25">
      <c r="A141" s="1" t="str">
        <f>"526  "</f>
        <v xml:space="preserve">526  </v>
      </c>
      <c r="B141" s="1" t="s">
        <v>2244</v>
      </c>
      <c r="C141" s="1" t="s">
        <v>2245</v>
      </c>
      <c r="D141" s="1" t="s">
        <v>2246</v>
      </c>
      <c r="E141" s="1" t="s">
        <v>2714</v>
      </c>
      <c r="F141" s="1" t="str">
        <f>"44706    "</f>
        <v xml:space="preserve">44706    </v>
      </c>
      <c r="G141" s="1" t="str">
        <f>"8003448858"</f>
        <v>8003448858</v>
      </c>
      <c r="H141" s="1" t="s">
        <v>2637</v>
      </c>
    </row>
    <row r="142" spans="1:8" x14ac:dyDescent="0.25">
      <c r="A142" s="1" t="str">
        <f>"588  "</f>
        <v xml:space="preserve">588  </v>
      </c>
      <c r="B142" s="1" t="s">
        <v>59</v>
      </c>
      <c r="C142" s="1" t="s">
        <v>60</v>
      </c>
      <c r="D142" s="1" t="s">
        <v>2657</v>
      </c>
      <c r="E142" s="1" t="s">
        <v>2644</v>
      </c>
      <c r="F142" s="1" t="str">
        <f>"482321223"</f>
        <v>482321223</v>
      </c>
      <c r="G142" s="1" t="str">
        <f>"8002751896"</f>
        <v>8002751896</v>
      </c>
      <c r="H142" s="1" t="s">
        <v>2760</v>
      </c>
    </row>
    <row r="143" spans="1:8" x14ac:dyDescent="0.25">
      <c r="A143" s="1" t="s">
        <v>1846</v>
      </c>
      <c r="B143" s="1" t="s">
        <v>1847</v>
      </c>
      <c r="C143" s="1" t="str">
        <f>"1111 E. HERNDON AVE  STE. 308                     "</f>
        <v xml:space="preserve">1111 E. HERNDON AVE  STE. 308                     </v>
      </c>
      <c r="D143" s="1" t="s">
        <v>2687</v>
      </c>
      <c r="E143" s="1" t="s">
        <v>2663</v>
      </c>
      <c r="F143" s="1" t="str">
        <f>"93720    "</f>
        <v xml:space="preserve">93720    </v>
      </c>
      <c r="G143" s="1" t="str">
        <f>"8664163617"</f>
        <v>8664163617</v>
      </c>
      <c r="H143" s="1" t="s">
        <v>2637</v>
      </c>
    </row>
    <row r="144" spans="1:8" x14ac:dyDescent="0.25">
      <c r="A144" s="1" t="s">
        <v>2361</v>
      </c>
      <c r="B144" s="1" t="s">
        <v>2362</v>
      </c>
      <c r="C144" s="1" t="s">
        <v>2363</v>
      </c>
      <c r="D144" s="1" t="s">
        <v>3085</v>
      </c>
      <c r="E144" s="1" t="s">
        <v>3086</v>
      </c>
      <c r="F144" s="1" t="str">
        <f>"35238    "</f>
        <v xml:space="preserve">35238    </v>
      </c>
      <c r="G144" s="1" t="str">
        <f>"8883222115"</f>
        <v>8883222115</v>
      </c>
      <c r="H144" s="1" t="s">
        <v>2760</v>
      </c>
    </row>
    <row r="145" spans="1:8" x14ac:dyDescent="0.25">
      <c r="A145" s="1" t="str">
        <f>"494  "</f>
        <v xml:space="preserve">494  </v>
      </c>
      <c r="B145" s="1" t="s">
        <v>1554</v>
      </c>
      <c r="C145" s="1" t="str">
        <f>"3724 N 3RD ST STE 300                             "</f>
        <v xml:space="preserve">3724 N 3RD ST STE 300                             </v>
      </c>
      <c r="D145" s="1" t="s">
        <v>2808</v>
      </c>
      <c r="E145" s="1" t="s">
        <v>2809</v>
      </c>
      <c r="F145" s="1" t="str">
        <f>"85012    "</f>
        <v xml:space="preserve">85012    </v>
      </c>
      <c r="G145" s="1" t="str">
        <f>"6022413400"</f>
        <v>6022413400</v>
      </c>
      <c r="H145" s="1" t="s">
        <v>2637</v>
      </c>
    </row>
    <row r="146" spans="1:8" x14ac:dyDescent="0.25">
      <c r="A146" s="1" t="s">
        <v>1843</v>
      </c>
      <c r="B146" s="1" t="s">
        <v>1844</v>
      </c>
      <c r="C146" s="1" t="s">
        <v>1845</v>
      </c>
      <c r="D146" s="1" t="s">
        <v>2317</v>
      </c>
      <c r="E146" s="1" t="s">
        <v>2832</v>
      </c>
      <c r="F146" s="1" t="str">
        <f>"332569000"</f>
        <v>332569000</v>
      </c>
      <c r="G146" s="1" t="str">
        <f>"8004528633"</f>
        <v>8004528633</v>
      </c>
      <c r="H146" s="1" t="s">
        <v>2637</v>
      </c>
    </row>
    <row r="147" spans="1:8" x14ac:dyDescent="0.25">
      <c r="A147" s="1" t="s">
        <v>2524</v>
      </c>
      <c r="B147" s="1" t="s">
        <v>2525</v>
      </c>
      <c r="C147" s="1" t="str">
        <f>"850 RIDGE AVE                                     "</f>
        <v xml:space="preserve">850 RIDGE AVE                                     </v>
      </c>
      <c r="D147" s="1" t="s">
        <v>3230</v>
      </c>
      <c r="E147" s="1" t="s">
        <v>2697</v>
      </c>
      <c r="F147" s="1" t="str">
        <f>"15212    "</f>
        <v xml:space="preserve">15212    </v>
      </c>
      <c r="G147" s="1" t="str">
        <f>"8002456102"</f>
        <v>8002456102</v>
      </c>
      <c r="H147" s="1" t="s">
        <v>2637</v>
      </c>
    </row>
    <row r="148" spans="1:8" x14ac:dyDescent="0.25">
      <c r="A148" s="1" t="str">
        <f>"358  "</f>
        <v xml:space="preserve">358  </v>
      </c>
      <c r="B148" s="1" t="s">
        <v>1894</v>
      </c>
      <c r="C148" s="1" t="str">
        <f>"10401 CONNECTICUT AVE STE 300                     "</f>
        <v xml:space="preserve">10401 CONNECTICUT AVE STE 300                     </v>
      </c>
      <c r="D148" s="1" t="s">
        <v>1895</v>
      </c>
      <c r="E148" s="1" t="s">
        <v>2647</v>
      </c>
      <c r="F148" s="1" t="str">
        <f>"208953960"</f>
        <v>208953960</v>
      </c>
      <c r="G148" s="1" t="str">
        <f>"3014683742"</f>
        <v>3014683742</v>
      </c>
      <c r="H148" s="1" t="s">
        <v>2637</v>
      </c>
    </row>
    <row r="149" spans="1:8" x14ac:dyDescent="0.25">
      <c r="A149" s="1" t="str">
        <f>"654  "</f>
        <v xml:space="preserve">654  </v>
      </c>
      <c r="B149" s="1" t="s">
        <v>119</v>
      </c>
      <c r="C149" s="1" t="str">
        <f>"-                                                 "</f>
        <v xml:space="preserve">-                                                 </v>
      </c>
      <c r="D149" s="1" t="str">
        <f>"-                                      "</f>
        <v xml:space="preserve">-                                      </v>
      </c>
      <c r="E149" s="1" t="str">
        <f>"- "</f>
        <v xml:space="preserve">- </v>
      </c>
      <c r="F149" s="1" t="str">
        <f>"-        "</f>
        <v xml:space="preserve">-        </v>
      </c>
      <c r="G149" s="1" t="s">
        <v>2637</v>
      </c>
      <c r="H149" s="1" t="s">
        <v>2637</v>
      </c>
    </row>
    <row r="150" spans="1:8" x14ac:dyDescent="0.25">
      <c r="A150" s="1" t="str">
        <f>"987  "</f>
        <v xml:space="preserve">987  </v>
      </c>
      <c r="B150" s="1" t="s">
        <v>779</v>
      </c>
      <c r="C150" s="1" t="s">
        <v>780</v>
      </c>
      <c r="D150" s="1" t="s">
        <v>2717</v>
      </c>
      <c r="E150" s="1" t="s">
        <v>2681</v>
      </c>
      <c r="F150" s="1" t="str">
        <f>"311190240"</f>
        <v>311190240</v>
      </c>
      <c r="G150" s="1" t="str">
        <f>"4042665500"</f>
        <v>4042665500</v>
      </c>
      <c r="H150" s="1" t="s">
        <v>2637</v>
      </c>
    </row>
    <row r="151" spans="1:8" x14ac:dyDescent="0.25">
      <c r="A151" s="1" t="str">
        <f>"815  "</f>
        <v xml:space="preserve">815  </v>
      </c>
      <c r="B151" s="1" t="s">
        <v>2562</v>
      </c>
      <c r="C151" s="1" t="s">
        <v>2563</v>
      </c>
      <c r="D151" s="1" t="s">
        <v>2296</v>
      </c>
      <c r="E151" s="1" t="s">
        <v>2636</v>
      </c>
      <c r="F151" s="1" t="str">
        <f>"75026    "</f>
        <v xml:space="preserve">75026    </v>
      </c>
      <c r="G151" s="1" t="str">
        <f>"8664587499"</f>
        <v>8664587499</v>
      </c>
      <c r="H151" s="1" t="s">
        <v>2564</v>
      </c>
    </row>
    <row r="152" spans="1:8" x14ac:dyDescent="0.25">
      <c r="A152" s="1" t="str">
        <f>"123  "</f>
        <v xml:space="preserve">123  </v>
      </c>
      <c r="B152" s="1" t="s">
        <v>23</v>
      </c>
      <c r="C152" s="1" t="s">
        <v>24</v>
      </c>
      <c r="D152" s="1" t="s">
        <v>2154</v>
      </c>
      <c r="E152" s="1" t="s">
        <v>2786</v>
      </c>
      <c r="F152" s="1" t="str">
        <f>"606660927"</f>
        <v>606660927</v>
      </c>
      <c r="G152" s="1" t="str">
        <f>"8006213724"</f>
        <v>8006213724</v>
      </c>
      <c r="H152" s="1" t="s">
        <v>2637</v>
      </c>
    </row>
    <row r="153" spans="1:8" x14ac:dyDescent="0.25">
      <c r="A153" s="1" t="str">
        <f>"655  "</f>
        <v xml:space="preserve">655  </v>
      </c>
      <c r="B153" s="1" t="s">
        <v>2155</v>
      </c>
      <c r="C153" s="1" t="str">
        <f>"-                                                 "</f>
        <v xml:space="preserve">-                                                 </v>
      </c>
      <c r="D153" s="1" t="str">
        <f>"-                                      "</f>
        <v xml:space="preserve">-                                      </v>
      </c>
      <c r="E153" s="1" t="str">
        <f>"- "</f>
        <v xml:space="preserve">- </v>
      </c>
      <c r="F153" s="1" t="str">
        <f>"-        "</f>
        <v xml:space="preserve">-        </v>
      </c>
      <c r="G153" s="1" t="s">
        <v>2637</v>
      </c>
      <c r="H153" s="1" t="s">
        <v>2637</v>
      </c>
    </row>
    <row r="154" spans="1:8" x14ac:dyDescent="0.25">
      <c r="A154" s="1" t="str">
        <f>"644  "</f>
        <v xml:space="preserve">644  </v>
      </c>
      <c r="B154" s="1" t="s">
        <v>68</v>
      </c>
      <c r="C154" s="1" t="s">
        <v>69</v>
      </c>
      <c r="D154" s="1" t="s">
        <v>2923</v>
      </c>
      <c r="E154" s="1" t="s">
        <v>2681</v>
      </c>
      <c r="F154" s="1" t="str">
        <f>"31908    "</f>
        <v xml:space="preserve">31908    </v>
      </c>
      <c r="G154" s="1" t="str">
        <f>"8004412273"</f>
        <v>8004412273</v>
      </c>
      <c r="H154" s="1" t="s">
        <v>3215</v>
      </c>
    </row>
    <row r="155" spans="1:8" x14ac:dyDescent="0.25">
      <c r="A155" s="1" t="s">
        <v>3108</v>
      </c>
      <c r="B155" s="1" t="s">
        <v>3109</v>
      </c>
      <c r="C155" s="1" t="s">
        <v>3110</v>
      </c>
      <c r="D155" s="1" t="s">
        <v>2985</v>
      </c>
      <c r="E155" s="1" t="s">
        <v>2636</v>
      </c>
      <c r="F155" s="1" t="str">
        <f>"78265    "</f>
        <v xml:space="preserve">78265    </v>
      </c>
      <c r="G155" s="1" t="str">
        <f>"4048428000"</f>
        <v>4048428000</v>
      </c>
      <c r="H155" s="1" t="s">
        <v>2637</v>
      </c>
    </row>
    <row r="156" spans="1:8" x14ac:dyDescent="0.25">
      <c r="A156" s="1" t="s">
        <v>2039</v>
      </c>
      <c r="B156" s="1" t="s">
        <v>2040</v>
      </c>
      <c r="C156" s="1" t="s">
        <v>2041</v>
      </c>
      <c r="D156" s="1" t="s">
        <v>2042</v>
      </c>
      <c r="E156" s="1" t="s">
        <v>3118</v>
      </c>
      <c r="F156" s="1" t="str">
        <f>"02298    "</f>
        <v xml:space="preserve">02298    </v>
      </c>
      <c r="G156" s="1" t="str">
        <f>"800253521-"</f>
        <v>800253521-</v>
      </c>
      <c r="H156" s="1" t="s">
        <v>2043</v>
      </c>
    </row>
    <row r="157" spans="1:8" x14ac:dyDescent="0.25">
      <c r="A157" s="1" t="s">
        <v>312</v>
      </c>
      <c r="B157" s="1" t="s">
        <v>313</v>
      </c>
      <c r="C157" s="1" t="s">
        <v>314</v>
      </c>
      <c r="D157" s="1" t="s">
        <v>2701</v>
      </c>
      <c r="E157" s="1" t="s">
        <v>2660</v>
      </c>
      <c r="F157" s="1" t="str">
        <f>"29202    "</f>
        <v xml:space="preserve">29202    </v>
      </c>
      <c r="G157" s="1" t="str">
        <f>"8006053256"</f>
        <v>8006053256</v>
      </c>
      <c r="H157" s="1" t="s">
        <v>2795</v>
      </c>
    </row>
    <row r="158" spans="1:8" x14ac:dyDescent="0.25">
      <c r="A158" s="1" t="s">
        <v>334</v>
      </c>
      <c r="B158" s="1" t="s">
        <v>335</v>
      </c>
      <c r="C158" s="1" t="s">
        <v>314</v>
      </c>
      <c r="D158" s="1" t="s">
        <v>2701</v>
      </c>
      <c r="E158" s="1" t="s">
        <v>2660</v>
      </c>
      <c r="F158" s="1" t="str">
        <f>"29202    "</f>
        <v xml:space="preserve">29202    </v>
      </c>
      <c r="G158" s="1" t="str">
        <f>"8006053256"</f>
        <v>8006053256</v>
      </c>
      <c r="H158" s="1" t="s">
        <v>2795</v>
      </c>
    </row>
    <row r="159" spans="1:8" x14ac:dyDescent="0.25">
      <c r="A159" s="1" t="str">
        <f>"643  "</f>
        <v xml:space="preserve">643  </v>
      </c>
      <c r="B159" s="1" t="s">
        <v>740</v>
      </c>
      <c r="C159" s="1" t="str">
        <f>"730 CHESTNUT ST                                   "</f>
        <v xml:space="preserve">730 CHESTNUT ST                                   </v>
      </c>
      <c r="D159" s="1" t="s">
        <v>3045</v>
      </c>
      <c r="E159" s="1" t="s">
        <v>2970</v>
      </c>
      <c r="F159" s="1" t="str">
        <f>"37402    "</f>
        <v xml:space="preserve">37402    </v>
      </c>
      <c r="G159" s="1" t="str">
        <f>"8772966189"</f>
        <v>8772966189</v>
      </c>
      <c r="H159" s="1" t="s">
        <v>3215</v>
      </c>
    </row>
    <row r="160" spans="1:8" x14ac:dyDescent="0.25">
      <c r="A160" s="1" t="str">
        <f>"656  "</f>
        <v xml:space="preserve">656  </v>
      </c>
      <c r="B160" s="1" t="s">
        <v>1896</v>
      </c>
      <c r="C160" s="1" t="str">
        <f>"-                                                 "</f>
        <v xml:space="preserve">-                                                 </v>
      </c>
      <c r="D160" s="1" t="str">
        <f>"-                                      "</f>
        <v xml:space="preserve">-                                      </v>
      </c>
      <c r="E160" s="1" t="str">
        <f>"- "</f>
        <v xml:space="preserve">- </v>
      </c>
      <c r="F160" s="1" t="str">
        <f>"-        "</f>
        <v xml:space="preserve">-        </v>
      </c>
      <c r="G160" s="1" t="s">
        <v>2637</v>
      </c>
      <c r="H160" s="1" t="s">
        <v>2637</v>
      </c>
    </row>
    <row r="161" spans="1:8" x14ac:dyDescent="0.25">
      <c r="A161" s="1" t="str">
        <f>"881  "</f>
        <v xml:space="preserve">881  </v>
      </c>
      <c r="B161" s="1" t="s">
        <v>2260</v>
      </c>
      <c r="C161" s="1" t="s">
        <v>2261</v>
      </c>
      <c r="D161" s="1" t="s">
        <v>3085</v>
      </c>
      <c r="E161" s="1" t="s">
        <v>3086</v>
      </c>
      <c r="F161" s="1" t="str">
        <f>"352830724"</f>
        <v>352830724</v>
      </c>
      <c r="G161" s="1" t="str">
        <f>"8002451150"</f>
        <v>8002451150</v>
      </c>
      <c r="H161" s="1" t="s">
        <v>2688</v>
      </c>
    </row>
    <row r="162" spans="1:8" x14ac:dyDescent="0.25">
      <c r="A162" s="1" t="str">
        <f>"750  "</f>
        <v xml:space="preserve">750  </v>
      </c>
      <c r="B162" s="1" t="s">
        <v>1871</v>
      </c>
      <c r="C162" s="1" t="s">
        <v>1872</v>
      </c>
      <c r="D162" s="1" t="s">
        <v>2016</v>
      </c>
      <c r="E162" s="1" t="s">
        <v>2786</v>
      </c>
      <c r="F162" s="1" t="str">
        <f>"61110    "</f>
        <v xml:space="preserve">61110    </v>
      </c>
      <c r="G162" s="1" t="str">
        <f>"8159699663"</f>
        <v>8159699663</v>
      </c>
      <c r="H162" s="1" t="s">
        <v>2637</v>
      </c>
    </row>
    <row r="163" spans="1:8" x14ac:dyDescent="0.25">
      <c r="A163" s="1" t="s">
        <v>1533</v>
      </c>
      <c r="B163" s="1" t="s">
        <v>1534</v>
      </c>
      <c r="C163" s="1" t="s">
        <v>1535</v>
      </c>
      <c r="D163" s="1" t="s">
        <v>1536</v>
      </c>
      <c r="E163" s="1" t="s">
        <v>2786</v>
      </c>
      <c r="F163" s="1" t="str">
        <f>"60430    "</f>
        <v xml:space="preserve">60430    </v>
      </c>
      <c r="G163" s="1" t="str">
        <f>"7087997400"</f>
        <v>7087997400</v>
      </c>
      <c r="H163" s="1" t="s">
        <v>2637</v>
      </c>
    </row>
    <row r="164" spans="1:8" x14ac:dyDescent="0.25">
      <c r="A164" s="1" t="s">
        <v>1742</v>
      </c>
      <c r="B164" s="1" t="s">
        <v>2139</v>
      </c>
      <c r="C164" s="1" t="s">
        <v>1743</v>
      </c>
      <c r="D164" s="1" t="s">
        <v>2701</v>
      </c>
      <c r="E164" s="1" t="s">
        <v>2660</v>
      </c>
      <c r="F164" s="1" t="str">
        <f>"29221    "</f>
        <v xml:space="preserve">29221    </v>
      </c>
      <c r="G164" s="1" t="str">
        <f>"8778400936"</f>
        <v>8778400936</v>
      </c>
      <c r="H164" s="1" t="s">
        <v>2637</v>
      </c>
    </row>
    <row r="165" spans="1:8" x14ac:dyDescent="0.25">
      <c r="A165" s="1" t="s">
        <v>2138</v>
      </c>
      <c r="B165" s="1" t="s">
        <v>2139</v>
      </c>
      <c r="C165" s="1" t="s">
        <v>2140</v>
      </c>
      <c r="D165" s="1" t="s">
        <v>2141</v>
      </c>
      <c r="E165" s="1" t="s">
        <v>2744</v>
      </c>
      <c r="F165" s="1" t="str">
        <f>"41311    "</f>
        <v xml:space="preserve">41311    </v>
      </c>
      <c r="G165" s="1" t="str">
        <f>"8003258424"</f>
        <v>8003258424</v>
      </c>
      <c r="H165" s="1" t="s">
        <v>2637</v>
      </c>
    </row>
    <row r="166" spans="1:8" x14ac:dyDescent="0.25">
      <c r="A166" s="1" t="str">
        <f>"300  "</f>
        <v xml:space="preserve">300  </v>
      </c>
      <c r="B166" s="1" t="s">
        <v>1019</v>
      </c>
      <c r="C166" s="1" t="s">
        <v>1020</v>
      </c>
      <c r="D166" s="1" t="s">
        <v>1021</v>
      </c>
      <c r="E166" s="1" t="s">
        <v>2697</v>
      </c>
      <c r="F166" s="1" t="str">
        <f>"16512    "</f>
        <v xml:space="preserve">16512    </v>
      </c>
      <c r="G166" s="1" t="str">
        <f>"8007772524"</f>
        <v>8007772524</v>
      </c>
      <c r="H166" s="1" t="s">
        <v>2637</v>
      </c>
    </row>
    <row r="167" spans="1:8" x14ac:dyDescent="0.25">
      <c r="A167" s="1" t="str">
        <f>"300DN"</f>
        <v>300DN</v>
      </c>
      <c r="B167" s="1" t="s">
        <v>1019</v>
      </c>
      <c r="C167" s="1" t="s">
        <v>1020</v>
      </c>
      <c r="D167" s="1" t="s">
        <v>1021</v>
      </c>
      <c r="E167" s="1" t="s">
        <v>2697</v>
      </c>
      <c r="F167" s="1" t="str">
        <f>"16512    "</f>
        <v xml:space="preserve">16512    </v>
      </c>
      <c r="G167" s="1" t="str">
        <f>"8007772524"</f>
        <v>8007772524</v>
      </c>
      <c r="H167" s="1" t="s">
        <v>2637</v>
      </c>
    </row>
    <row r="168" spans="1:8" x14ac:dyDescent="0.25">
      <c r="A168" s="1" t="str">
        <f>"475  "</f>
        <v xml:space="preserve">475  </v>
      </c>
      <c r="B168" s="1" t="s">
        <v>2473</v>
      </c>
      <c r="C168" s="1" t="s">
        <v>2474</v>
      </c>
      <c r="D168" s="1" t="s">
        <v>2475</v>
      </c>
      <c r="E168" s="1" t="s">
        <v>3014</v>
      </c>
      <c r="F168" s="1" t="str">
        <f>"25526    "</f>
        <v xml:space="preserve">25526    </v>
      </c>
      <c r="G168" s="1" t="str">
        <f>"3045621913"</f>
        <v>3045621913</v>
      </c>
      <c r="H168" s="1" t="s">
        <v>2637</v>
      </c>
    </row>
    <row r="169" spans="1:8" x14ac:dyDescent="0.25">
      <c r="A169" s="1" t="str">
        <f>"319  "</f>
        <v xml:space="preserve">319  </v>
      </c>
      <c r="B169" s="1" t="s">
        <v>851</v>
      </c>
      <c r="C169" s="1" t="s">
        <v>852</v>
      </c>
      <c r="D169" s="1" t="s">
        <v>776</v>
      </c>
      <c r="E169" s="1" t="s">
        <v>2697</v>
      </c>
      <c r="F169" s="1" t="str">
        <f>"19406    "</f>
        <v xml:space="preserve">19406    </v>
      </c>
      <c r="G169" s="1" t="str">
        <f>"8002202600"</f>
        <v>8002202600</v>
      </c>
      <c r="H169" s="1" t="s">
        <v>2637</v>
      </c>
    </row>
    <row r="170" spans="1:8" x14ac:dyDescent="0.25">
      <c r="A170" s="1" t="s">
        <v>3206</v>
      </c>
      <c r="B170" s="1" t="s">
        <v>3207</v>
      </c>
      <c r="C170" s="1" t="s">
        <v>3208</v>
      </c>
      <c r="D170" s="1" t="s">
        <v>3209</v>
      </c>
      <c r="E170" s="1" t="s">
        <v>2832</v>
      </c>
      <c r="F170" s="1" t="str">
        <f>"333269000"</f>
        <v>333269000</v>
      </c>
      <c r="G170" s="1" t="str">
        <f>"8002629175"</f>
        <v>8002629175</v>
      </c>
      <c r="H170" s="1" t="s">
        <v>2760</v>
      </c>
    </row>
    <row r="171" spans="1:8" x14ac:dyDescent="0.25">
      <c r="A171" s="1" t="s">
        <v>2489</v>
      </c>
      <c r="B171" s="1" t="s">
        <v>2490</v>
      </c>
      <c r="C171" s="1" t="s">
        <v>2491</v>
      </c>
      <c r="D171" s="1" t="s">
        <v>2492</v>
      </c>
      <c r="E171" s="1" t="s">
        <v>2677</v>
      </c>
      <c r="F171" s="1" t="str">
        <f>"28106    "</f>
        <v xml:space="preserve">28106    </v>
      </c>
      <c r="G171" s="1" t="str">
        <f>"7048455608"</f>
        <v>7048455608</v>
      </c>
      <c r="H171" s="1" t="s">
        <v>2637</v>
      </c>
    </row>
    <row r="172" spans="1:8" x14ac:dyDescent="0.25">
      <c r="A172" s="1" t="s">
        <v>1848</v>
      </c>
      <c r="B172" s="1" t="s">
        <v>2490</v>
      </c>
      <c r="C172" s="1" t="s">
        <v>1849</v>
      </c>
      <c r="D172" s="1" t="s">
        <v>2492</v>
      </c>
      <c r="E172" s="1" t="s">
        <v>2677</v>
      </c>
      <c r="F172" s="1" t="str">
        <f>"28106    "</f>
        <v xml:space="preserve">28106    </v>
      </c>
      <c r="G172" s="1" t="str">
        <f>"7048455608"</f>
        <v>7048455608</v>
      </c>
      <c r="H172" s="1" t="s">
        <v>2637</v>
      </c>
    </row>
    <row r="173" spans="1:8" x14ac:dyDescent="0.25">
      <c r="A173" s="1" t="str">
        <f>"301  "</f>
        <v xml:space="preserve">301  </v>
      </c>
      <c r="B173" s="1" t="s">
        <v>208</v>
      </c>
      <c r="C173" s="1" t="str">
        <f>"2145 FORD PARKWAY, SUITE 300                      "</f>
        <v xml:space="preserve">2145 FORD PARKWAY, SUITE 300                      </v>
      </c>
      <c r="D173" s="1" t="s">
        <v>209</v>
      </c>
      <c r="E173" s="1" t="s">
        <v>2902</v>
      </c>
      <c r="F173" s="1" t="str">
        <f>"55116    "</f>
        <v xml:space="preserve">55116    </v>
      </c>
      <c r="G173" s="1" t="str">
        <f>"8002778973"</f>
        <v>8002778973</v>
      </c>
      <c r="H173" s="1" t="s">
        <v>2637</v>
      </c>
    </row>
    <row r="174" spans="1:8" x14ac:dyDescent="0.25">
      <c r="A174" s="1" t="s">
        <v>904</v>
      </c>
      <c r="B174" s="1" t="s">
        <v>905</v>
      </c>
      <c r="C174" s="1" t="s">
        <v>906</v>
      </c>
      <c r="D174" s="1" t="s">
        <v>907</v>
      </c>
      <c r="E174" s="1" t="s">
        <v>3118</v>
      </c>
      <c r="F174" s="1" t="str">
        <f>"02370    "</f>
        <v xml:space="preserve">02370    </v>
      </c>
      <c r="G174" s="1" t="str">
        <f>"8776427500"</f>
        <v>8776427500</v>
      </c>
      <c r="H174" s="1" t="s">
        <v>2637</v>
      </c>
    </row>
    <row r="175" spans="1:8" x14ac:dyDescent="0.25">
      <c r="A175" s="1" t="str">
        <f>"311  "</f>
        <v xml:space="preserve">311  </v>
      </c>
      <c r="B175" s="1" t="s">
        <v>1327</v>
      </c>
      <c r="C175" s="1" t="s">
        <v>1328</v>
      </c>
      <c r="D175" s="1" t="s">
        <v>2985</v>
      </c>
      <c r="E175" s="1" t="s">
        <v>2636</v>
      </c>
      <c r="F175" s="1" t="str">
        <f>"78269----"</f>
        <v>78269----</v>
      </c>
      <c r="G175" s="1" t="str">
        <f>"2106991872"</f>
        <v>2106991872</v>
      </c>
      <c r="H175" s="1" t="s">
        <v>2637</v>
      </c>
    </row>
    <row r="176" spans="1:8" x14ac:dyDescent="0.25">
      <c r="A176" s="1" t="str">
        <f>"980  "</f>
        <v xml:space="preserve">980  </v>
      </c>
      <c r="B176" s="1" t="s">
        <v>1426</v>
      </c>
      <c r="C176" s="1" t="s">
        <v>1427</v>
      </c>
      <c r="D176" s="1" t="s">
        <v>1428</v>
      </c>
      <c r="E176" s="1" t="s">
        <v>2681</v>
      </c>
      <c r="F176" s="1" t="str">
        <f>"30503    "</f>
        <v xml:space="preserve">30503    </v>
      </c>
      <c r="G176" s="1" t="str">
        <f>"8007774752"</f>
        <v>8007774752</v>
      </c>
      <c r="H176" s="1" t="s">
        <v>2637</v>
      </c>
    </row>
    <row r="177" spans="1:8" x14ac:dyDescent="0.25">
      <c r="A177" s="1" t="str">
        <f>"772  "</f>
        <v xml:space="preserve">772  </v>
      </c>
      <c r="B177" s="1" t="s">
        <v>3189</v>
      </c>
      <c r="C177" s="1" t="s">
        <v>3190</v>
      </c>
      <c r="D177" s="1" t="s">
        <v>2705</v>
      </c>
      <c r="E177" s="1" t="s">
        <v>2706</v>
      </c>
      <c r="F177" s="1" t="str">
        <f>"462066001"</f>
        <v>462066001</v>
      </c>
      <c r="G177" s="1" t="str">
        <f>"8008243216"</f>
        <v>8008243216</v>
      </c>
      <c r="H177" s="1" t="s">
        <v>2637</v>
      </c>
    </row>
    <row r="178" spans="1:8" x14ac:dyDescent="0.25">
      <c r="A178" s="1" t="str">
        <f>"127  "</f>
        <v xml:space="preserve">127  </v>
      </c>
      <c r="B178" s="1" t="s">
        <v>1619</v>
      </c>
      <c r="C178" s="1" t="s">
        <v>1620</v>
      </c>
      <c r="D178" s="1" t="s">
        <v>1621</v>
      </c>
      <c r="E178" s="1" t="s">
        <v>2644</v>
      </c>
      <c r="F178" s="1" t="str">
        <f>"48161    "</f>
        <v xml:space="preserve">48161    </v>
      </c>
      <c r="G178" s="1" t="str">
        <f>"8004231028"</f>
        <v>8004231028</v>
      </c>
      <c r="H178" s="1" t="s">
        <v>2688</v>
      </c>
    </row>
    <row r="179" spans="1:8" x14ac:dyDescent="0.25">
      <c r="A179" s="1" t="s">
        <v>2201</v>
      </c>
      <c r="B179" s="1" t="s">
        <v>2202</v>
      </c>
      <c r="C179" s="1" t="str">
        <f>"8300 E. MAPLEWOOD AVE                             "</f>
        <v xml:space="preserve">8300 E. MAPLEWOOD AVE                             </v>
      </c>
      <c r="D179" s="1" t="s">
        <v>2912</v>
      </c>
      <c r="E179" s="1" t="s">
        <v>2826</v>
      </c>
      <c r="F179" s="1" t="str">
        <f>"80111    "</f>
        <v xml:space="preserve">80111    </v>
      </c>
      <c r="G179" s="1" t="str">
        <f>"8003453189"</f>
        <v>8003453189</v>
      </c>
      <c r="H179" s="1" t="s">
        <v>2637</v>
      </c>
    </row>
    <row r="180" spans="1:8" x14ac:dyDescent="0.25">
      <c r="A180" s="1" t="str">
        <f>"985  "</f>
        <v xml:space="preserve">985  </v>
      </c>
      <c r="B180" s="1" t="s">
        <v>1813</v>
      </c>
      <c r="C180" s="1" t="s">
        <v>1814</v>
      </c>
      <c r="D180" s="1" t="s">
        <v>2234</v>
      </c>
      <c r="E180" s="1" t="s">
        <v>2826</v>
      </c>
      <c r="F180" s="1" t="str">
        <f>"81002    "</f>
        <v xml:space="preserve">81002    </v>
      </c>
      <c r="G180" s="1" t="str">
        <f>"8003621116"</f>
        <v>8003621116</v>
      </c>
      <c r="H180" s="1" t="s">
        <v>2637</v>
      </c>
    </row>
    <row r="181" spans="1:8" x14ac:dyDescent="0.25">
      <c r="A181" s="1" t="s">
        <v>63</v>
      </c>
      <c r="B181" s="1" t="s">
        <v>64</v>
      </c>
      <c r="C181" s="1" t="s">
        <v>65</v>
      </c>
      <c r="D181" s="1" t="s">
        <v>2531</v>
      </c>
      <c r="E181" s="1" t="s">
        <v>2636</v>
      </c>
      <c r="F181" s="1" t="str">
        <f>"79402    "</f>
        <v xml:space="preserve">79402    </v>
      </c>
      <c r="G181" s="1" t="str">
        <f>"3372341789"</f>
        <v>3372341789</v>
      </c>
      <c r="H181" s="1" t="s">
        <v>2637</v>
      </c>
    </row>
    <row r="182" spans="1:8" x14ac:dyDescent="0.25">
      <c r="A182" s="1" t="str">
        <f>"256  "</f>
        <v xml:space="preserve">256  </v>
      </c>
      <c r="B182" s="1" t="s">
        <v>1312</v>
      </c>
      <c r="C182" s="1" t="str">
        <f>"8310 CLINTON PARK DR                              "</f>
        <v xml:space="preserve">8310 CLINTON PARK DR                              </v>
      </c>
      <c r="D182" s="1" t="s">
        <v>1476</v>
      </c>
      <c r="E182" s="1" t="s">
        <v>2706</v>
      </c>
      <c r="F182" s="1" t="str">
        <f>"46825    "</f>
        <v xml:space="preserve">46825    </v>
      </c>
      <c r="G182" s="1" t="str">
        <f>"8008377400"</f>
        <v>8008377400</v>
      </c>
      <c r="H182" s="1" t="s">
        <v>2688</v>
      </c>
    </row>
    <row r="183" spans="1:8" x14ac:dyDescent="0.25">
      <c r="A183" s="1" t="s">
        <v>1949</v>
      </c>
      <c r="B183" s="1" t="s">
        <v>1950</v>
      </c>
      <c r="C183" s="1" t="str">
        <f>"8310 CLINTON PARK DR                              "</f>
        <v xml:space="preserve">8310 CLINTON PARK DR                              </v>
      </c>
      <c r="D183" s="1" t="s">
        <v>1476</v>
      </c>
      <c r="E183" s="1" t="s">
        <v>2706</v>
      </c>
      <c r="F183" s="1" t="str">
        <f>"46825    "</f>
        <v xml:space="preserve">46825    </v>
      </c>
      <c r="G183" s="1" t="str">
        <f>"8008377400"</f>
        <v>8008377400</v>
      </c>
      <c r="H183" s="1" t="s">
        <v>2760</v>
      </c>
    </row>
    <row r="184" spans="1:8" x14ac:dyDescent="0.25">
      <c r="A184" s="1" t="str">
        <f>"380  "</f>
        <v xml:space="preserve">380  </v>
      </c>
      <c r="B184" s="1" t="s">
        <v>1496</v>
      </c>
      <c r="C184" s="1" t="s">
        <v>1497</v>
      </c>
      <c r="D184" s="1" t="s">
        <v>3160</v>
      </c>
      <c r="E184" s="1" t="s">
        <v>3161</v>
      </c>
      <c r="F184" s="1" t="str">
        <f>"39236    "</f>
        <v xml:space="preserve">39236    </v>
      </c>
      <c r="G184" s="1" t="str">
        <f>"6013660596"</f>
        <v>6013660596</v>
      </c>
      <c r="H184" s="1" t="s">
        <v>2637</v>
      </c>
    </row>
    <row r="185" spans="1:8" x14ac:dyDescent="0.25">
      <c r="A185" s="1" t="str">
        <f>"481  "</f>
        <v xml:space="preserve">481  </v>
      </c>
      <c r="B185" s="1" t="s">
        <v>422</v>
      </c>
      <c r="C185" s="1" t="str">
        <f>"3481 CENTRAL PARKWAY, STE 200                     "</f>
        <v xml:space="preserve">3481 CENTRAL PARKWAY, STE 200                     </v>
      </c>
      <c r="D185" s="1" t="s">
        <v>3070</v>
      </c>
      <c r="E185" s="1" t="s">
        <v>2714</v>
      </c>
      <c r="F185" s="1" t="str">
        <f>"45223    "</f>
        <v xml:space="preserve">45223    </v>
      </c>
      <c r="G185" s="1" t="str">
        <f>"8006816912"</f>
        <v>8006816912</v>
      </c>
      <c r="H185" s="1" t="s">
        <v>2688</v>
      </c>
    </row>
    <row r="186" spans="1:8" x14ac:dyDescent="0.25">
      <c r="A186" s="1" t="str">
        <f>"657  "</f>
        <v xml:space="preserve">657  </v>
      </c>
      <c r="B186" s="1" t="s">
        <v>702</v>
      </c>
      <c r="C186" s="1" t="str">
        <f>"-                                                 "</f>
        <v xml:space="preserve">-                                                 </v>
      </c>
      <c r="D186" s="1" t="str">
        <f>"-                                      "</f>
        <v xml:space="preserve">-                                      </v>
      </c>
      <c r="E186" s="1" t="str">
        <f>"- "</f>
        <v xml:space="preserve">- </v>
      </c>
      <c r="F186" s="1" t="str">
        <f>"-        "</f>
        <v xml:space="preserve">-        </v>
      </c>
      <c r="G186" s="1" t="s">
        <v>2637</v>
      </c>
      <c r="H186" s="1" t="s">
        <v>2637</v>
      </c>
    </row>
    <row r="187" spans="1:8" x14ac:dyDescent="0.25">
      <c r="A187" s="1" t="str">
        <f>"904  "</f>
        <v xml:space="preserve">904  </v>
      </c>
      <c r="B187" s="1" t="s">
        <v>2599</v>
      </c>
      <c r="C187" s="1" t="s">
        <v>2600</v>
      </c>
      <c r="D187" s="1" t="s">
        <v>2601</v>
      </c>
      <c r="E187" s="1" t="s">
        <v>2832</v>
      </c>
      <c r="F187" s="1" t="str">
        <f>"33335    "</f>
        <v xml:space="preserve">33335    </v>
      </c>
      <c r="G187" s="1" t="str">
        <f>"8008674446"</f>
        <v>8008674446</v>
      </c>
      <c r="H187" s="1" t="s">
        <v>2637</v>
      </c>
    </row>
    <row r="188" spans="1:8" x14ac:dyDescent="0.25">
      <c r="A188" s="1" t="s">
        <v>1911</v>
      </c>
      <c r="B188" s="1" t="s">
        <v>1912</v>
      </c>
      <c r="C188" s="1" t="s">
        <v>1913</v>
      </c>
      <c r="D188" s="1" t="s">
        <v>1914</v>
      </c>
      <c r="E188" s="1" t="s">
        <v>2714</v>
      </c>
      <c r="F188" s="1" t="str">
        <f>"430170971"</f>
        <v>430170971</v>
      </c>
      <c r="G188" s="1" t="str">
        <f>"8772542363"</f>
        <v>8772542363</v>
      </c>
      <c r="H188" s="1" t="s">
        <v>2760</v>
      </c>
    </row>
    <row r="189" spans="1:8" x14ac:dyDescent="0.25">
      <c r="A189" s="1" t="s">
        <v>2288</v>
      </c>
      <c r="B189" s="1" t="s">
        <v>2289</v>
      </c>
      <c r="C189" s="1" t="s">
        <v>2290</v>
      </c>
      <c r="D189" s="1" t="s">
        <v>2291</v>
      </c>
      <c r="E189" s="1" t="s">
        <v>2292</v>
      </c>
      <c r="F189" s="1" t="str">
        <f>"96801    "</f>
        <v xml:space="preserve">96801    </v>
      </c>
      <c r="G189" s="1" t="str">
        <f>"8007764672"</f>
        <v>8007764672</v>
      </c>
      <c r="H189" s="1" t="s">
        <v>2637</v>
      </c>
    </row>
    <row r="190" spans="1:8" x14ac:dyDescent="0.25">
      <c r="A190" s="1" t="str">
        <f>"902  "</f>
        <v xml:space="preserve">902  </v>
      </c>
      <c r="B190" s="1" t="s">
        <v>3099</v>
      </c>
      <c r="C190" s="1" t="s">
        <v>3100</v>
      </c>
      <c r="D190" s="1" t="s">
        <v>3101</v>
      </c>
      <c r="E190" s="1" t="s">
        <v>2644</v>
      </c>
      <c r="F190" s="1" t="str">
        <f>"49516    "</f>
        <v xml:space="preserve">49516    </v>
      </c>
      <c r="G190" s="1" t="str">
        <f>"8006588878"</f>
        <v>8006588878</v>
      </c>
      <c r="H190" s="1" t="s">
        <v>3102</v>
      </c>
    </row>
    <row r="191" spans="1:8" x14ac:dyDescent="0.25">
      <c r="A191" s="1" t="s">
        <v>2914</v>
      </c>
      <c r="B191" s="1" t="s">
        <v>2915</v>
      </c>
      <c r="C191" s="1" t="s">
        <v>2916</v>
      </c>
      <c r="D191" s="1" t="s">
        <v>2701</v>
      </c>
      <c r="E191" s="1" t="s">
        <v>2660</v>
      </c>
      <c r="F191" s="1" t="str">
        <f>"29260    "</f>
        <v xml:space="preserve">29260    </v>
      </c>
      <c r="G191" s="1" t="str">
        <f>"8772753256"</f>
        <v>8772753256</v>
      </c>
      <c r="H191" s="1" t="s">
        <v>2917</v>
      </c>
    </row>
    <row r="192" spans="1:8" x14ac:dyDescent="0.25">
      <c r="A192" s="1" t="str">
        <f>"922  "</f>
        <v xml:space="preserve">922  </v>
      </c>
      <c r="B192" s="1" t="s">
        <v>1158</v>
      </c>
      <c r="C192" s="1" t="s">
        <v>1159</v>
      </c>
      <c r="D192" s="1" t="s">
        <v>2701</v>
      </c>
      <c r="E192" s="1" t="s">
        <v>2660</v>
      </c>
      <c r="F192" s="1" t="str">
        <f>"292606170"</f>
        <v>292606170</v>
      </c>
      <c r="G192" s="1" t="str">
        <f>"8037868466"</f>
        <v>8037868466</v>
      </c>
      <c r="H192" s="1" t="s">
        <v>1160</v>
      </c>
    </row>
    <row r="193" spans="1:8" x14ac:dyDescent="0.25">
      <c r="A193" s="1" t="str">
        <f>"403  "</f>
        <v xml:space="preserve">403  </v>
      </c>
      <c r="B193" s="1" t="s">
        <v>1184</v>
      </c>
      <c r="C193" s="1" t="s">
        <v>1185</v>
      </c>
      <c r="D193" s="1" t="s">
        <v>2701</v>
      </c>
      <c r="E193" s="1" t="s">
        <v>2660</v>
      </c>
      <c r="F193" s="1" t="str">
        <f>"29260    "</f>
        <v xml:space="preserve">29260    </v>
      </c>
      <c r="G193" s="1" t="str">
        <f>"8772753256"</f>
        <v>8772753256</v>
      </c>
      <c r="H193" s="1" t="s">
        <v>3195</v>
      </c>
    </row>
    <row r="194" spans="1:8" x14ac:dyDescent="0.25">
      <c r="A194" s="1" t="s">
        <v>888</v>
      </c>
      <c r="B194" s="1" t="s">
        <v>889</v>
      </c>
      <c r="C194" s="1" t="s">
        <v>890</v>
      </c>
      <c r="D194" s="1" t="s">
        <v>727</v>
      </c>
      <c r="E194" s="1" t="s">
        <v>2773</v>
      </c>
      <c r="F194" s="1" t="str">
        <f>"132214809"</f>
        <v>132214809</v>
      </c>
      <c r="G194" s="1" t="str">
        <f>"3154483801"</f>
        <v>3154483801</v>
      </c>
      <c r="H194" s="1" t="s">
        <v>2637</v>
      </c>
    </row>
    <row r="195" spans="1:8" x14ac:dyDescent="0.25">
      <c r="A195" s="1" t="s">
        <v>1441</v>
      </c>
      <c r="B195" s="1" t="s">
        <v>1442</v>
      </c>
      <c r="C195" s="1" t="s">
        <v>1443</v>
      </c>
      <c r="D195" s="1" t="s">
        <v>2808</v>
      </c>
      <c r="E195" s="1" t="s">
        <v>2809</v>
      </c>
      <c r="F195" s="1" t="str">
        <f>"850023466"</f>
        <v>850023466</v>
      </c>
      <c r="G195" s="1" t="str">
        <f>"6028644100"</f>
        <v>6028644100</v>
      </c>
      <c r="H195" s="1" t="s">
        <v>2637</v>
      </c>
    </row>
    <row r="196" spans="1:8" x14ac:dyDescent="0.25">
      <c r="A196" s="1" t="s">
        <v>2823</v>
      </c>
      <c r="B196" s="1" t="s">
        <v>2824</v>
      </c>
      <c r="C196" s="1" t="str">
        <f>"700 BROADWAY                                      "</f>
        <v xml:space="preserve">700 BROADWAY                                      </v>
      </c>
      <c r="D196" s="1" t="s">
        <v>2825</v>
      </c>
      <c r="E196" s="1" t="s">
        <v>2826</v>
      </c>
      <c r="F196" s="1" t="str">
        <f>"80273    "</f>
        <v xml:space="preserve">80273    </v>
      </c>
      <c r="G196" s="1" t="str">
        <f>"3038312131"</f>
        <v>3038312131</v>
      </c>
      <c r="H196" s="1" t="s">
        <v>2637</v>
      </c>
    </row>
    <row r="197" spans="1:8" x14ac:dyDescent="0.25">
      <c r="A197" s="1" t="s">
        <v>1015</v>
      </c>
      <c r="B197" s="1" t="s">
        <v>1016</v>
      </c>
      <c r="C197" s="1" t="s">
        <v>1017</v>
      </c>
      <c r="D197" s="1" t="s">
        <v>839</v>
      </c>
      <c r="E197" s="1" t="s">
        <v>2952</v>
      </c>
      <c r="F197" s="1" t="str">
        <f>"06473    "</f>
        <v xml:space="preserve">06473    </v>
      </c>
      <c r="G197" s="1" t="str">
        <f>"2032394961"</f>
        <v>2032394961</v>
      </c>
      <c r="H197" s="1" t="s">
        <v>2637</v>
      </c>
    </row>
    <row r="198" spans="1:8" x14ac:dyDescent="0.25">
      <c r="A198" s="1" t="s">
        <v>1254</v>
      </c>
      <c r="B198" s="1" t="s">
        <v>1255</v>
      </c>
      <c r="C198" s="1" t="s">
        <v>1256</v>
      </c>
      <c r="D198" s="1" t="s">
        <v>2199</v>
      </c>
      <c r="E198" s="1" t="s">
        <v>2200</v>
      </c>
      <c r="F198" s="1" t="str">
        <f>"19899    "</f>
        <v xml:space="preserve">19899    </v>
      </c>
      <c r="G198" s="1" t="str">
        <f>"3024210260"</f>
        <v>3024210260</v>
      </c>
      <c r="H198" s="1" t="s">
        <v>2637</v>
      </c>
    </row>
    <row r="199" spans="1:8" x14ac:dyDescent="0.25">
      <c r="A199" s="1" t="s">
        <v>1733</v>
      </c>
      <c r="B199" s="1" t="s">
        <v>1734</v>
      </c>
      <c r="C199" s="1" t="s">
        <v>1461</v>
      </c>
      <c r="D199" s="1" t="s">
        <v>2923</v>
      </c>
      <c r="E199" s="1" t="s">
        <v>2681</v>
      </c>
      <c r="F199" s="1" t="str">
        <f>"319086007"</f>
        <v>319086007</v>
      </c>
      <c r="G199" s="1" t="str">
        <f>"4048428000"</f>
        <v>4048428000</v>
      </c>
      <c r="H199" s="1" t="str">
        <f>" FOR GEORGIA STATE EMPLOYEES USE CARRIER 419 GEORGIA STATE HEALTH   BENEFIT PLAN                                                            "</f>
        <v xml:space="preserve"> FOR GEORGIA STATE EMPLOYEES USE CARRIER 419 GEORGIA STATE HEALTH   BENEFIT PLAN                                                            </v>
      </c>
    </row>
    <row r="200" spans="1:8" x14ac:dyDescent="0.25">
      <c r="A200" s="1" t="s">
        <v>2993</v>
      </c>
      <c r="B200" s="1" t="s">
        <v>2994</v>
      </c>
      <c r="C200" s="1" t="str">
        <f>"1133 SOUTHWEST TOPEKA BLVD.                       "</f>
        <v xml:space="preserve">1133 SOUTHWEST TOPEKA BLVD.                       </v>
      </c>
      <c r="D200" s="1" t="s">
        <v>2995</v>
      </c>
      <c r="E200" s="1" t="s">
        <v>2749</v>
      </c>
      <c r="F200" s="1" t="str">
        <f>"66629    "</f>
        <v xml:space="preserve">66629    </v>
      </c>
      <c r="G200" s="1" t="str">
        <f>"7852914180"</f>
        <v>7852914180</v>
      </c>
      <c r="H200" s="1" t="s">
        <v>2637</v>
      </c>
    </row>
    <row r="201" spans="1:8" x14ac:dyDescent="0.25">
      <c r="A201" s="1" t="s">
        <v>2990</v>
      </c>
      <c r="B201" s="1" t="s">
        <v>2991</v>
      </c>
      <c r="C201" s="1" t="s">
        <v>2992</v>
      </c>
      <c r="D201" s="1" t="s">
        <v>2685</v>
      </c>
      <c r="E201" s="1" t="s">
        <v>2670</v>
      </c>
      <c r="F201" s="1" t="str">
        <f>"641416169"</f>
        <v>641416169</v>
      </c>
      <c r="G201" s="1" t="str">
        <f>"8008926048"</f>
        <v>8008926048</v>
      </c>
      <c r="H201" s="1" t="s">
        <v>2637</v>
      </c>
    </row>
    <row r="202" spans="1:8" x14ac:dyDescent="0.25">
      <c r="A202" s="1" t="s">
        <v>1567</v>
      </c>
      <c r="B202" s="1" t="s">
        <v>1568</v>
      </c>
      <c r="C202" s="1" t="str">
        <f>"9901 LINN STATION ROAD                            "</f>
        <v xml:space="preserve">9901 LINN STATION ROAD                            </v>
      </c>
      <c r="D202" s="1" t="s">
        <v>2743</v>
      </c>
      <c r="E202" s="1" t="s">
        <v>2744</v>
      </c>
      <c r="F202" s="1" t="str">
        <f>"40223    "</f>
        <v xml:space="preserve">40223    </v>
      </c>
      <c r="G202" s="1" t="str">
        <f>"5024232011"</f>
        <v>5024232011</v>
      </c>
      <c r="H202" s="1" t="s">
        <v>2637</v>
      </c>
    </row>
    <row r="203" spans="1:8" x14ac:dyDescent="0.25">
      <c r="A203" s="1" t="s">
        <v>1296</v>
      </c>
      <c r="B203" s="1" t="s">
        <v>1297</v>
      </c>
      <c r="C203" s="1" t="s">
        <v>1298</v>
      </c>
      <c r="D203" s="1" t="s">
        <v>2730</v>
      </c>
      <c r="E203" s="1" t="s">
        <v>2731</v>
      </c>
      <c r="F203" s="1" t="str">
        <f>"708989029"</f>
        <v>708989029</v>
      </c>
      <c r="G203" s="1" t="str">
        <f>"5042915370"</f>
        <v>5042915370</v>
      </c>
      <c r="H203" s="1" t="s">
        <v>2637</v>
      </c>
    </row>
    <row r="204" spans="1:8" x14ac:dyDescent="0.25">
      <c r="A204" s="1" t="s">
        <v>1341</v>
      </c>
      <c r="B204" s="1" t="s">
        <v>1342</v>
      </c>
      <c r="C204" s="1" t="str">
        <f>"2 GANNETT DRIVE                                   "</f>
        <v xml:space="preserve">2 GANNETT DRIVE                                   </v>
      </c>
      <c r="D204" s="1" t="s">
        <v>1343</v>
      </c>
      <c r="E204" s="1" t="s">
        <v>1344</v>
      </c>
      <c r="F204" s="1" t="str">
        <f>"041066911"</f>
        <v>041066911</v>
      </c>
      <c r="G204" s="1" t="str">
        <f>"2077751550"</f>
        <v>2077751550</v>
      </c>
      <c r="H204" s="1" t="s">
        <v>2637</v>
      </c>
    </row>
    <row r="205" spans="1:8" x14ac:dyDescent="0.25">
      <c r="A205" s="1" t="s">
        <v>2929</v>
      </c>
      <c r="B205" s="1" t="s">
        <v>2650</v>
      </c>
      <c r="C205" s="1" t="s">
        <v>2930</v>
      </c>
      <c r="D205" s="1" t="s">
        <v>2794</v>
      </c>
      <c r="E205" s="1" t="s">
        <v>2744</v>
      </c>
      <c r="F205" s="1" t="str">
        <f>"405124115"</f>
        <v>405124115</v>
      </c>
      <c r="G205" s="1" t="str">
        <f>"8005244555"</f>
        <v>8005244555</v>
      </c>
      <c r="H205" s="1" t="s">
        <v>2637</v>
      </c>
    </row>
    <row r="206" spans="1:8" x14ac:dyDescent="0.25">
      <c r="A206" s="1" t="s">
        <v>2649</v>
      </c>
      <c r="B206" s="1" t="s">
        <v>2650</v>
      </c>
      <c r="C206" s="1" t="s">
        <v>2651</v>
      </c>
      <c r="D206" s="1" t="s">
        <v>2652</v>
      </c>
      <c r="E206" s="1" t="s">
        <v>2647</v>
      </c>
      <c r="F206" s="1" t="str">
        <f>"21204    "</f>
        <v xml:space="preserve">21204    </v>
      </c>
      <c r="G206" s="1" t="str">
        <f>"8005244555"</f>
        <v>8005244555</v>
      </c>
      <c r="H206" s="1" t="s">
        <v>2653</v>
      </c>
    </row>
    <row r="207" spans="1:8" x14ac:dyDescent="0.25">
      <c r="A207" s="1" t="s">
        <v>2179</v>
      </c>
      <c r="B207" s="1" t="s">
        <v>2180</v>
      </c>
      <c r="C207" s="1" t="str">
        <f>"85 NORTH DANNY THOMAS BLVD                        "</f>
        <v xml:space="preserve">85 NORTH DANNY THOMAS BLVD                        </v>
      </c>
      <c r="D207" s="1" t="s">
        <v>2181</v>
      </c>
      <c r="E207" s="1" t="s">
        <v>2970</v>
      </c>
      <c r="F207" s="1" t="str">
        <f>"38103    "</f>
        <v xml:space="preserve">38103    </v>
      </c>
      <c r="G207" s="1" t="str">
        <f>"9015293111"</f>
        <v>9015293111</v>
      </c>
      <c r="H207" s="1" t="s">
        <v>2637</v>
      </c>
    </row>
    <row r="208" spans="1:8" x14ac:dyDescent="0.25">
      <c r="A208" s="1" t="s">
        <v>1309</v>
      </c>
      <c r="B208" s="1" t="s">
        <v>1005</v>
      </c>
      <c r="C208" s="1" t="str">
        <f>"600 LAFAYETTE EAST                                "</f>
        <v xml:space="preserve">600 LAFAYETTE EAST                                </v>
      </c>
      <c r="D208" s="1" t="s">
        <v>2657</v>
      </c>
      <c r="E208" s="1" t="s">
        <v>2644</v>
      </c>
      <c r="F208" s="1" t="str">
        <f>"482262998"</f>
        <v>482262998</v>
      </c>
      <c r="G208" s="1" t="str">
        <f>"8004820898"</f>
        <v>8004820898</v>
      </c>
      <c r="H208" s="1" t="s">
        <v>2637</v>
      </c>
    </row>
    <row r="209" spans="1:8" x14ac:dyDescent="0.25">
      <c r="A209" s="1" t="s">
        <v>1004</v>
      </c>
      <c r="B209" s="1" t="s">
        <v>1005</v>
      </c>
      <c r="C209" s="1" t="s">
        <v>1006</v>
      </c>
      <c r="D209" s="1" t="s">
        <v>2657</v>
      </c>
      <c r="E209" s="1" t="s">
        <v>2644</v>
      </c>
      <c r="F209" s="1" t="str">
        <f>"48231    "</f>
        <v xml:space="preserve">48231    </v>
      </c>
      <c r="G209" s="1" t="str">
        <f>"8888268152"</f>
        <v>8888268152</v>
      </c>
      <c r="H209" s="1" t="s">
        <v>2637</v>
      </c>
    </row>
    <row r="210" spans="1:8" x14ac:dyDescent="0.25">
      <c r="A210" s="1" t="s">
        <v>975</v>
      </c>
      <c r="B210" s="1" t="s">
        <v>976</v>
      </c>
      <c r="C210" s="1" t="s">
        <v>977</v>
      </c>
      <c r="D210" s="1" t="s">
        <v>2472</v>
      </c>
      <c r="E210" s="1" t="s">
        <v>2902</v>
      </c>
      <c r="F210" s="1" t="str">
        <f>"55164    "</f>
        <v xml:space="preserve">55164    </v>
      </c>
      <c r="G210" s="1" t="str">
        <f>"8003822000"</f>
        <v>8003822000</v>
      </c>
      <c r="H210" s="1" t="s">
        <v>2637</v>
      </c>
    </row>
    <row r="211" spans="1:8" x14ac:dyDescent="0.25">
      <c r="A211" s="1" t="s">
        <v>383</v>
      </c>
      <c r="B211" s="1" t="s">
        <v>384</v>
      </c>
      <c r="C211" s="1" t="s">
        <v>385</v>
      </c>
      <c r="D211" s="1" t="s">
        <v>3160</v>
      </c>
      <c r="E211" s="1" t="s">
        <v>3161</v>
      </c>
      <c r="F211" s="1" t="str">
        <f>"39208    "</f>
        <v xml:space="preserve">39208    </v>
      </c>
      <c r="G211" s="1" t="str">
        <f>"6019323800"</f>
        <v>6019323800</v>
      </c>
      <c r="H211" s="1" t="s">
        <v>2637</v>
      </c>
    </row>
    <row r="212" spans="1:8" x14ac:dyDescent="0.25">
      <c r="A212" s="1" t="s">
        <v>159</v>
      </c>
      <c r="B212" s="1" t="s">
        <v>160</v>
      </c>
      <c r="C212" s="1" t="str">
        <f>"1831 CHESTNUT STREET                              "</f>
        <v xml:space="preserve">1831 CHESTNUT STREET                              </v>
      </c>
      <c r="D212" s="1" t="s">
        <v>917</v>
      </c>
      <c r="E212" s="1" t="s">
        <v>2670</v>
      </c>
      <c r="F212" s="1" t="str">
        <f>"63103    "</f>
        <v xml:space="preserve">63103    </v>
      </c>
      <c r="G212" s="1" t="str">
        <f>"3149234444"</f>
        <v>3149234444</v>
      </c>
      <c r="H212" s="1" t="s">
        <v>161</v>
      </c>
    </row>
    <row r="213" spans="1:8" x14ac:dyDescent="0.25">
      <c r="A213" s="1" t="s">
        <v>1481</v>
      </c>
      <c r="B213" s="1" t="s">
        <v>1482</v>
      </c>
      <c r="C213" s="1" t="s">
        <v>1483</v>
      </c>
      <c r="D213" s="1" t="s">
        <v>2891</v>
      </c>
      <c r="E213" s="1" t="s">
        <v>2862</v>
      </c>
      <c r="F213" s="1" t="str">
        <f>"681800001"</f>
        <v>681800001</v>
      </c>
      <c r="G213" s="1" t="str">
        <f>"4023901820"</f>
        <v>4023901820</v>
      </c>
      <c r="H213" s="1" t="s">
        <v>2637</v>
      </c>
    </row>
    <row r="214" spans="1:8" x14ac:dyDescent="0.25">
      <c r="A214" s="1" t="s">
        <v>2817</v>
      </c>
      <c r="B214" s="1" t="s">
        <v>2818</v>
      </c>
      <c r="C214" s="1" t="s">
        <v>2819</v>
      </c>
      <c r="D214" s="1" t="s">
        <v>2820</v>
      </c>
      <c r="E214" s="1" t="s">
        <v>2821</v>
      </c>
      <c r="F214" s="1" t="str">
        <f>"07102    "</f>
        <v xml:space="preserve">07102    </v>
      </c>
      <c r="G214" s="1" t="str">
        <f>"8003552583"</f>
        <v>8003552583</v>
      </c>
      <c r="H214" s="1" t="s">
        <v>2822</v>
      </c>
    </row>
    <row r="215" spans="1:8" x14ac:dyDescent="0.25">
      <c r="A215" s="1" t="s">
        <v>1557</v>
      </c>
      <c r="B215" s="1" t="s">
        <v>2818</v>
      </c>
      <c r="C215" s="1" t="s">
        <v>1558</v>
      </c>
      <c r="D215" s="1" t="s">
        <v>2901</v>
      </c>
      <c r="E215" s="1" t="s">
        <v>2902</v>
      </c>
      <c r="F215" s="1" t="str">
        <f>"55440    "</f>
        <v xml:space="preserve">55440    </v>
      </c>
      <c r="G215" s="1" t="str">
        <f>"8003552583"</f>
        <v>8003552583</v>
      </c>
      <c r="H215" s="1" t="s">
        <v>2822</v>
      </c>
    </row>
    <row r="216" spans="1:8" x14ac:dyDescent="0.25">
      <c r="A216" s="1" t="s">
        <v>2512</v>
      </c>
      <c r="B216" s="1" t="s">
        <v>2034</v>
      </c>
      <c r="C216" s="1" t="s">
        <v>2513</v>
      </c>
      <c r="D216" s="1" t="s">
        <v>2676</v>
      </c>
      <c r="E216" s="1" t="s">
        <v>2677</v>
      </c>
      <c r="F216" s="1" t="str">
        <f>"27702    "</f>
        <v xml:space="preserve">27702    </v>
      </c>
      <c r="G216" s="1" t="str">
        <f>"8002144844"</f>
        <v>8002144844</v>
      </c>
      <c r="H216" s="1" t="s">
        <v>2637</v>
      </c>
    </row>
    <row r="217" spans="1:8" x14ac:dyDescent="0.25">
      <c r="A217" s="1" t="s">
        <v>2033</v>
      </c>
      <c r="B217" s="1" t="s">
        <v>2034</v>
      </c>
      <c r="C217" s="1" t="s">
        <v>2035</v>
      </c>
      <c r="D217" s="1" t="s">
        <v>2036</v>
      </c>
      <c r="E217" s="1" t="s">
        <v>2677</v>
      </c>
      <c r="F217" s="1" t="str">
        <f>"271022100"</f>
        <v>271022100</v>
      </c>
      <c r="G217" s="1" t="str">
        <f>"9194897431"</f>
        <v>9194897431</v>
      </c>
      <c r="H217" s="1" t="s">
        <v>2637</v>
      </c>
    </row>
    <row r="218" spans="1:8" x14ac:dyDescent="0.25">
      <c r="A218" s="1" t="s">
        <v>2842</v>
      </c>
      <c r="B218" s="1" t="s">
        <v>2843</v>
      </c>
      <c r="C218" s="1" t="str">
        <f>"4510 13TH AVE. SW                                 "</f>
        <v xml:space="preserve">4510 13TH AVE. SW                                 </v>
      </c>
      <c r="D218" s="1" t="s">
        <v>2844</v>
      </c>
      <c r="E218" s="1" t="s">
        <v>2845</v>
      </c>
      <c r="F218" s="1" t="str">
        <f>"581210001"</f>
        <v>581210001</v>
      </c>
      <c r="G218" s="1" t="str">
        <f>"8003682312"</f>
        <v>8003682312</v>
      </c>
      <c r="H218" s="1" t="s">
        <v>2637</v>
      </c>
    </row>
    <row r="219" spans="1:8" x14ac:dyDescent="0.25">
      <c r="A219" s="1" t="s">
        <v>1587</v>
      </c>
      <c r="B219" s="1" t="s">
        <v>1588</v>
      </c>
      <c r="C219" s="1" t="s">
        <v>1589</v>
      </c>
      <c r="D219" s="1" t="s">
        <v>3249</v>
      </c>
      <c r="E219" s="1" t="s">
        <v>2885</v>
      </c>
      <c r="F219" s="1" t="str">
        <f>"74102    "</f>
        <v xml:space="preserve">74102    </v>
      </c>
      <c r="G219" s="1" t="str">
        <f>"9185603535"</f>
        <v>9185603535</v>
      </c>
      <c r="H219" s="1" t="s">
        <v>2637</v>
      </c>
    </row>
    <row r="220" spans="1:8" x14ac:dyDescent="0.25">
      <c r="A220" s="1" t="s">
        <v>2761</v>
      </c>
      <c r="B220" s="1" t="s">
        <v>2762</v>
      </c>
      <c r="C220" s="1" t="str">
        <f>"500 EXCHANGE STREET                               "</f>
        <v xml:space="preserve">500 EXCHANGE STREET                               </v>
      </c>
      <c r="D220" s="1" t="s">
        <v>2763</v>
      </c>
      <c r="E220" s="1" t="s">
        <v>2764</v>
      </c>
      <c r="F220" s="1" t="str">
        <f>"02903    "</f>
        <v xml:space="preserve">02903    </v>
      </c>
      <c r="G220" s="1" t="str">
        <f>"4018317300"</f>
        <v>4018317300</v>
      </c>
      <c r="H220" s="1" t="s">
        <v>2637</v>
      </c>
    </row>
    <row r="221" spans="1:8" x14ac:dyDescent="0.25">
      <c r="A221" s="1" t="s">
        <v>3043</v>
      </c>
      <c r="B221" s="1" t="s">
        <v>3044</v>
      </c>
      <c r="C221" s="1" t="str">
        <f>"1 CAMERON HILL CIRCLE                             "</f>
        <v xml:space="preserve">1 CAMERON HILL CIRCLE                             </v>
      </c>
      <c r="D221" s="1" t="s">
        <v>3045</v>
      </c>
      <c r="E221" s="1" t="s">
        <v>2970</v>
      </c>
      <c r="F221" s="1" t="str">
        <f>"374020002"</f>
        <v>374020002</v>
      </c>
      <c r="G221" s="1" t="str">
        <f>"8004689736"</f>
        <v>8004689736</v>
      </c>
      <c r="H221" s="1" t="s">
        <v>2637</v>
      </c>
    </row>
    <row r="222" spans="1:8" x14ac:dyDescent="0.25">
      <c r="A222" s="1" t="s">
        <v>302</v>
      </c>
      <c r="B222" s="1" t="s">
        <v>3044</v>
      </c>
      <c r="C222" s="1" t="str">
        <f>"1 CAMERON HILL CIRCLE SUITE 0002                  "</f>
        <v xml:space="preserve">1 CAMERON HILL CIRCLE SUITE 0002                  </v>
      </c>
      <c r="D222" s="1" t="s">
        <v>3045</v>
      </c>
      <c r="E222" s="1" t="s">
        <v>2970</v>
      </c>
      <c r="F222" s="1" t="str">
        <f>"374020002"</f>
        <v>374020002</v>
      </c>
      <c r="G222" s="1" t="str">
        <f>"8005659140"</f>
        <v>8005659140</v>
      </c>
      <c r="H222" s="1" t="s">
        <v>2637</v>
      </c>
    </row>
    <row r="223" spans="1:8" x14ac:dyDescent="0.25">
      <c r="A223" s="1" t="s">
        <v>1022</v>
      </c>
      <c r="B223" s="1" t="s">
        <v>1023</v>
      </c>
      <c r="C223" s="1" t="s">
        <v>1024</v>
      </c>
      <c r="D223" s="1" t="s">
        <v>2673</v>
      </c>
      <c r="E223" s="1" t="s">
        <v>2674</v>
      </c>
      <c r="F223" s="1" t="str">
        <f>"841300270"</f>
        <v>841300270</v>
      </c>
      <c r="G223" s="1" t="str">
        <f>"8013332100"</f>
        <v>8013332100</v>
      </c>
      <c r="H223" s="1" t="s">
        <v>2637</v>
      </c>
    </row>
    <row r="224" spans="1:8" x14ac:dyDescent="0.25">
      <c r="A224" s="1" t="s">
        <v>1438</v>
      </c>
      <c r="B224" s="1" t="s">
        <v>1439</v>
      </c>
      <c r="C224" s="1" t="str">
        <f>"12 RHOADS DRIVE, UTICA BUSINESS DISTRICT          "</f>
        <v xml:space="preserve">12 RHOADS DRIVE, UTICA BUSINESS DISTRICT          </v>
      </c>
      <c r="D224" s="1" t="s">
        <v>1440</v>
      </c>
      <c r="E224" s="1" t="s">
        <v>2773</v>
      </c>
      <c r="F224" s="1" t="str">
        <f>"13501    "</f>
        <v xml:space="preserve">13501    </v>
      </c>
      <c r="G224" s="1" t="str">
        <f>"3157984238"</f>
        <v>3157984238</v>
      </c>
      <c r="H224" s="1" t="s">
        <v>2637</v>
      </c>
    </row>
    <row r="225" spans="1:8" x14ac:dyDescent="0.25">
      <c r="A225" s="1" t="s">
        <v>578</v>
      </c>
      <c r="B225" s="1" t="s">
        <v>579</v>
      </c>
      <c r="C225" s="1" t="s">
        <v>580</v>
      </c>
      <c r="D225" s="1" t="s">
        <v>581</v>
      </c>
      <c r="E225" s="1" t="s">
        <v>503</v>
      </c>
      <c r="F225" s="1" t="str">
        <f>"05602    "</f>
        <v xml:space="preserve">05602    </v>
      </c>
      <c r="G225" s="1" t="str">
        <f>"8022472583"</f>
        <v>8022472583</v>
      </c>
      <c r="H225" s="1" t="s">
        <v>2637</v>
      </c>
    </row>
    <row r="226" spans="1:8" x14ac:dyDescent="0.25">
      <c r="A226" s="1" t="s">
        <v>1537</v>
      </c>
      <c r="B226" s="1" t="s">
        <v>1538</v>
      </c>
      <c r="C226" s="1" t="s">
        <v>1539</v>
      </c>
      <c r="D226" s="1" t="s">
        <v>1540</v>
      </c>
      <c r="E226" s="1" t="s">
        <v>3164</v>
      </c>
      <c r="F226" s="1" t="str">
        <f>"23279    "</f>
        <v xml:space="preserve">23279    </v>
      </c>
      <c r="G226" s="1" t="str">
        <f>"8009916061"</f>
        <v>8009916061</v>
      </c>
      <c r="H226" s="1" t="s">
        <v>2637</v>
      </c>
    </row>
    <row r="227" spans="1:8" x14ac:dyDescent="0.25">
      <c r="A227" s="1" t="s">
        <v>44</v>
      </c>
      <c r="B227" s="1" t="s">
        <v>45</v>
      </c>
      <c r="C227" s="1" t="s">
        <v>46</v>
      </c>
      <c r="D227" s="1" t="s">
        <v>3013</v>
      </c>
      <c r="E227" s="1" t="s">
        <v>3014</v>
      </c>
      <c r="F227" s="1" t="str">
        <f>"25325    "</f>
        <v xml:space="preserve">25325    </v>
      </c>
      <c r="G227" s="1" t="str">
        <f>"3043477709"</f>
        <v>3043477709</v>
      </c>
      <c r="H227" s="1" t="s">
        <v>2637</v>
      </c>
    </row>
    <row r="228" spans="1:8" x14ac:dyDescent="0.25">
      <c r="A228" s="1" t="s">
        <v>377</v>
      </c>
      <c r="B228" s="1" t="s">
        <v>378</v>
      </c>
      <c r="C228" s="1" t="s">
        <v>379</v>
      </c>
      <c r="D228" s="1" t="s">
        <v>1783</v>
      </c>
      <c r="E228" s="1" t="s">
        <v>2773</v>
      </c>
      <c r="F228" s="1" t="str">
        <f>"142400080"</f>
        <v>142400080</v>
      </c>
      <c r="G228" s="1" t="str">
        <f>"8008880757"</f>
        <v>8008880757</v>
      </c>
      <c r="H228" s="1" t="s">
        <v>2637</v>
      </c>
    </row>
    <row r="229" spans="1:8" x14ac:dyDescent="0.25">
      <c r="A229" s="1" t="s">
        <v>3181</v>
      </c>
      <c r="B229" s="1" t="s">
        <v>3182</v>
      </c>
      <c r="C229" s="1" t="s">
        <v>3183</v>
      </c>
      <c r="D229" s="1" t="s">
        <v>3166</v>
      </c>
      <c r="E229" s="1" t="s">
        <v>2667</v>
      </c>
      <c r="F229" s="1" t="str">
        <f>"53201    "</f>
        <v xml:space="preserve">53201    </v>
      </c>
      <c r="G229" s="1" t="str">
        <f>"4142246100"</f>
        <v>4142246100</v>
      </c>
      <c r="H229" s="1" t="s">
        <v>2637</v>
      </c>
    </row>
    <row r="230" spans="1:8" x14ac:dyDescent="0.25">
      <c r="A230" s="1" t="s">
        <v>1572</v>
      </c>
      <c r="B230" s="1" t="s">
        <v>1573</v>
      </c>
      <c r="C230" s="1" t="str">
        <f>"550 12TH STREET SW                                "</f>
        <v xml:space="preserve">550 12TH STREET SW                                </v>
      </c>
      <c r="D230" s="1" t="s">
        <v>2691</v>
      </c>
      <c r="E230" s="1" t="s">
        <v>2692</v>
      </c>
      <c r="F230" s="1" t="str">
        <f>"20024    "</f>
        <v xml:space="preserve">20024    </v>
      </c>
      <c r="G230" s="1" t="str">
        <f>"2024798000"</f>
        <v>2024798000</v>
      </c>
      <c r="H230" s="1" t="s">
        <v>2637</v>
      </c>
    </row>
    <row r="231" spans="1:8" x14ac:dyDescent="0.25">
      <c r="A231" s="1" t="s">
        <v>2576</v>
      </c>
      <c r="B231" s="1" t="s">
        <v>2298</v>
      </c>
      <c r="C231" s="1" t="s">
        <v>2577</v>
      </c>
      <c r="D231" s="1" t="s">
        <v>3085</v>
      </c>
      <c r="E231" s="1" t="s">
        <v>3086</v>
      </c>
      <c r="F231" s="1" t="str">
        <f>"35298    "</f>
        <v xml:space="preserve">35298    </v>
      </c>
      <c r="G231" s="1" t="str">
        <f>"8005176425"</f>
        <v>8005176425</v>
      </c>
      <c r="H231" s="1" t="s">
        <v>2578</v>
      </c>
    </row>
    <row r="232" spans="1:8" x14ac:dyDescent="0.25">
      <c r="A232" s="1" t="s">
        <v>2297</v>
      </c>
      <c r="B232" s="1" t="s">
        <v>2298</v>
      </c>
      <c r="C232" s="1" t="s">
        <v>2299</v>
      </c>
      <c r="D232" s="1" t="s">
        <v>3085</v>
      </c>
      <c r="E232" s="1" t="s">
        <v>3086</v>
      </c>
      <c r="F232" s="1" t="str">
        <f>"352830389"</f>
        <v>352830389</v>
      </c>
      <c r="G232" s="1" t="str">
        <f>"8005176425"</f>
        <v>8005176425</v>
      </c>
      <c r="H232" s="1" t="s">
        <v>2637</v>
      </c>
    </row>
    <row r="233" spans="1:8" x14ac:dyDescent="0.25">
      <c r="A233" s="1" t="s">
        <v>1569</v>
      </c>
      <c r="B233" s="1" t="s">
        <v>1570</v>
      </c>
      <c r="C233" s="1" t="s">
        <v>1571</v>
      </c>
      <c r="D233" s="1" t="s">
        <v>2834</v>
      </c>
      <c r="E233" s="1" t="s">
        <v>2832</v>
      </c>
      <c r="F233" s="1" t="str">
        <f>"322310014"</f>
        <v>322310014</v>
      </c>
      <c r="G233" s="1" t="str">
        <f>"8007272227"</f>
        <v>8007272227</v>
      </c>
      <c r="H233" s="1" t="s">
        <v>2637</v>
      </c>
    </row>
    <row r="234" spans="1:8" x14ac:dyDescent="0.25">
      <c r="A234" s="1" t="str">
        <f>"401  "</f>
        <v xml:space="preserve">401  </v>
      </c>
      <c r="B234" s="1" t="s">
        <v>1492</v>
      </c>
      <c r="C234" s="1" t="s">
        <v>1493</v>
      </c>
      <c r="D234" s="1" t="s">
        <v>2701</v>
      </c>
      <c r="E234" s="1" t="s">
        <v>2660</v>
      </c>
      <c r="F234" s="1" t="str">
        <f>"29202    "</f>
        <v xml:space="preserve">29202    </v>
      </c>
      <c r="G234" s="1" t="str">
        <f>"8037883860"</f>
        <v>8037883860</v>
      </c>
      <c r="H234" s="1" t="s">
        <v>1494</v>
      </c>
    </row>
    <row r="235" spans="1:8" x14ac:dyDescent="0.25">
      <c r="A235" s="1" t="str">
        <f>"401DN"</f>
        <v>401DN</v>
      </c>
      <c r="B235" s="1" t="s">
        <v>1492</v>
      </c>
      <c r="C235" s="1" t="str">
        <f>"4101 PERCIVAL ROAD                                "</f>
        <v xml:space="preserve">4101 PERCIVAL ROAD                                </v>
      </c>
      <c r="D235" s="1" t="s">
        <v>2701</v>
      </c>
      <c r="E235" s="1" t="s">
        <v>2660</v>
      </c>
      <c r="F235" s="1" t="str">
        <f>"29219    "</f>
        <v xml:space="preserve">29219    </v>
      </c>
      <c r="G235" s="1" t="str">
        <f>"8037883860"</f>
        <v>8037883860</v>
      </c>
      <c r="H235" s="1" t="s">
        <v>1</v>
      </c>
    </row>
    <row r="236" spans="1:8" x14ac:dyDescent="0.25">
      <c r="A236" s="1" t="s">
        <v>2868</v>
      </c>
      <c r="B236" s="1" t="s">
        <v>2869</v>
      </c>
      <c r="C236" s="1" t="s">
        <v>2870</v>
      </c>
      <c r="D236" s="1" t="s">
        <v>2871</v>
      </c>
      <c r="E236" s="1" t="s">
        <v>2636</v>
      </c>
      <c r="F236" s="1" t="str">
        <f>"752660044"</f>
        <v>752660044</v>
      </c>
      <c r="G236" s="1" t="str">
        <f>"8004510287"</f>
        <v>8004510287</v>
      </c>
      <c r="H236" s="1" t="s">
        <v>2637</v>
      </c>
    </row>
    <row r="237" spans="1:8" x14ac:dyDescent="0.25">
      <c r="A237" s="1" t="s">
        <v>1723</v>
      </c>
      <c r="B237" s="1" t="s">
        <v>2869</v>
      </c>
      <c r="C237" s="1" t="s">
        <v>1724</v>
      </c>
      <c r="D237" s="1" t="s">
        <v>2871</v>
      </c>
      <c r="E237" s="1" t="s">
        <v>2636</v>
      </c>
      <c r="F237" s="1" t="str">
        <f>"75266    "</f>
        <v xml:space="preserve">75266    </v>
      </c>
      <c r="G237" s="1" t="str">
        <f>"8004947218"</f>
        <v>8004947218</v>
      </c>
      <c r="H237" s="1" t="s">
        <v>2637</v>
      </c>
    </row>
    <row r="238" spans="1:8" x14ac:dyDescent="0.25">
      <c r="A238" s="1" t="s">
        <v>3177</v>
      </c>
      <c r="B238" s="1" t="s">
        <v>3178</v>
      </c>
      <c r="C238" s="1" t="s">
        <v>3179</v>
      </c>
      <c r="D238" s="1" t="s">
        <v>3180</v>
      </c>
      <c r="E238" s="1" t="s">
        <v>2773</v>
      </c>
      <c r="F238" s="1" t="str">
        <f>"14692    "</f>
        <v xml:space="preserve">14692    </v>
      </c>
      <c r="G238" s="1" t="str">
        <f>"7163253630"</f>
        <v>7163253630</v>
      </c>
      <c r="H238" s="1" t="s">
        <v>2637</v>
      </c>
    </row>
    <row r="239" spans="1:8" x14ac:dyDescent="0.25">
      <c r="A239" s="1" t="str">
        <f>"453  "</f>
        <v xml:space="preserve">453  </v>
      </c>
      <c r="B239" s="1" t="s">
        <v>3191</v>
      </c>
      <c r="C239" s="1" t="str">
        <f>"2100 CORPORATE CENTER                             "</f>
        <v xml:space="preserve">2100 CORPORATE CENTER                             </v>
      </c>
      <c r="D239" s="1" t="s">
        <v>3192</v>
      </c>
      <c r="E239" s="1" t="s">
        <v>2663</v>
      </c>
      <c r="F239" s="1" t="str">
        <f>"913201431"</f>
        <v>913201431</v>
      </c>
      <c r="G239" s="1" t="str">
        <f>"8006762583"</f>
        <v>8006762583</v>
      </c>
      <c r="H239" s="1" t="s">
        <v>2795</v>
      </c>
    </row>
    <row r="240" spans="1:8" x14ac:dyDescent="0.25">
      <c r="A240" s="1" t="s">
        <v>2610</v>
      </c>
      <c r="B240" s="1" t="s">
        <v>2611</v>
      </c>
      <c r="C240" s="1" t="s">
        <v>2612</v>
      </c>
      <c r="D240" s="1" t="s">
        <v>2613</v>
      </c>
      <c r="E240" s="1" t="s">
        <v>3138</v>
      </c>
      <c r="F240" s="1" t="str">
        <f>"59403    "</f>
        <v xml:space="preserve">59403    </v>
      </c>
      <c r="G240" s="1" t="str">
        <f>"4067914000"</f>
        <v>4067914000</v>
      </c>
      <c r="H240" s="1" t="s">
        <v>2637</v>
      </c>
    </row>
    <row r="241" spans="1:8" x14ac:dyDescent="0.25">
      <c r="A241" s="1" t="s">
        <v>53</v>
      </c>
      <c r="B241" s="1" t="s">
        <v>54</v>
      </c>
      <c r="C241" s="1" t="s">
        <v>55</v>
      </c>
      <c r="D241" s="1" t="s">
        <v>56</v>
      </c>
      <c r="E241" s="1" t="s">
        <v>2631</v>
      </c>
      <c r="F241" s="1" t="str">
        <f>"87125    "</f>
        <v xml:space="preserve">87125    </v>
      </c>
      <c r="G241" s="1" t="str">
        <f>"8007113795"</f>
        <v>8007113795</v>
      </c>
      <c r="H241" s="1" t="s">
        <v>2637</v>
      </c>
    </row>
    <row r="242" spans="1:8" x14ac:dyDescent="0.25">
      <c r="A242" s="1" t="s">
        <v>3198</v>
      </c>
      <c r="B242" s="1" t="s">
        <v>3199</v>
      </c>
      <c r="C242" s="1" t="s">
        <v>3200</v>
      </c>
      <c r="D242" s="1" t="s">
        <v>2874</v>
      </c>
      <c r="E242" s="1" t="s">
        <v>2663</v>
      </c>
      <c r="F242" s="1" t="str">
        <f>"90060    "</f>
        <v xml:space="preserve">90060    </v>
      </c>
      <c r="G242" s="1" t="str">
        <f>"8888878969"</f>
        <v>8888878969</v>
      </c>
      <c r="H242" s="1" t="s">
        <v>2637</v>
      </c>
    </row>
    <row r="243" spans="1:8" x14ac:dyDescent="0.25">
      <c r="A243" s="1" t="s">
        <v>1791</v>
      </c>
      <c r="B243" s="1" t="s">
        <v>1792</v>
      </c>
      <c r="C243" s="1" t="s">
        <v>1793</v>
      </c>
      <c r="D243" s="1" t="s">
        <v>2834</v>
      </c>
      <c r="E243" s="1" t="s">
        <v>2832</v>
      </c>
      <c r="F243" s="1" t="str">
        <f>"32231    "</f>
        <v xml:space="preserve">32231    </v>
      </c>
      <c r="G243" s="1" t="str">
        <f>"8773522583"</f>
        <v>8773522583</v>
      </c>
      <c r="H243" s="1" t="s">
        <v>2795</v>
      </c>
    </row>
    <row r="244" spans="1:8" x14ac:dyDescent="0.25">
      <c r="A244" s="1" t="s">
        <v>1459</v>
      </c>
      <c r="B244" s="1" t="s">
        <v>1460</v>
      </c>
      <c r="C244" s="1" t="s">
        <v>1461</v>
      </c>
      <c r="D244" s="1" t="s">
        <v>2923</v>
      </c>
      <c r="E244" s="1" t="s">
        <v>2681</v>
      </c>
      <c r="F244" s="1" t="str">
        <f>"319089907"</f>
        <v>319089907</v>
      </c>
      <c r="G244" s="1" t="str">
        <f>"8004412273"</f>
        <v>8004412273</v>
      </c>
      <c r="H244" s="1" t="s">
        <v>1462</v>
      </c>
    </row>
    <row r="245" spans="1:8" x14ac:dyDescent="0.25">
      <c r="A245" s="1" t="s">
        <v>948</v>
      </c>
      <c r="B245" s="1" t="s">
        <v>1460</v>
      </c>
      <c r="C245" s="1" t="s">
        <v>1461</v>
      </c>
      <c r="D245" s="1" t="s">
        <v>2923</v>
      </c>
      <c r="E245" s="1" t="s">
        <v>2681</v>
      </c>
      <c r="F245" s="1" t="str">
        <f>"319089907"</f>
        <v>319089907</v>
      </c>
      <c r="G245" s="1" t="str">
        <f>"8004412273"</f>
        <v>8004412273</v>
      </c>
      <c r="H245" s="1" t="s">
        <v>2578</v>
      </c>
    </row>
    <row r="246" spans="1:8" x14ac:dyDescent="0.25">
      <c r="A246" s="1" t="s">
        <v>2499</v>
      </c>
      <c r="B246" s="1" t="s">
        <v>2500</v>
      </c>
      <c r="C246" s="1" t="s">
        <v>2501</v>
      </c>
      <c r="D246" s="1" t="s">
        <v>2502</v>
      </c>
      <c r="E246" s="1" t="s">
        <v>2989</v>
      </c>
      <c r="F246" s="1" t="str">
        <f>"83707    "</f>
        <v xml:space="preserve">83707    </v>
      </c>
      <c r="G246" s="1" t="str">
        <f>"2083447411"</f>
        <v>2083447411</v>
      </c>
      <c r="H246" s="1" t="s">
        <v>2637</v>
      </c>
    </row>
    <row r="247" spans="1:8" x14ac:dyDescent="0.25">
      <c r="A247" s="1" t="s">
        <v>39</v>
      </c>
      <c r="B247" s="1" t="s">
        <v>355</v>
      </c>
      <c r="C247" s="1" t="s">
        <v>40</v>
      </c>
      <c r="D247" s="1" t="s">
        <v>2154</v>
      </c>
      <c r="E247" s="1" t="s">
        <v>2786</v>
      </c>
      <c r="F247" s="1" t="str">
        <f>"60680    "</f>
        <v xml:space="preserve">60680    </v>
      </c>
      <c r="G247" s="1" t="str">
        <f>"8006348644"</f>
        <v>8006348644</v>
      </c>
      <c r="H247" s="1" t="s">
        <v>2637</v>
      </c>
    </row>
    <row r="248" spans="1:8" x14ac:dyDescent="0.25">
      <c r="A248" s="1" t="s">
        <v>354</v>
      </c>
      <c r="B248" s="1" t="s">
        <v>355</v>
      </c>
      <c r="C248" s="1" t="s">
        <v>356</v>
      </c>
      <c r="D248" s="1" t="s">
        <v>357</v>
      </c>
      <c r="E248" s="1" t="s">
        <v>2786</v>
      </c>
      <c r="F248" s="1" t="str">
        <f>"62223    "</f>
        <v xml:space="preserve">62223    </v>
      </c>
      <c r="G248" s="1" t="str">
        <f>"8668260914"</f>
        <v>8668260914</v>
      </c>
      <c r="H248" s="1" t="s">
        <v>2637</v>
      </c>
    </row>
    <row r="249" spans="1:8" x14ac:dyDescent="0.25">
      <c r="A249" s="1" t="s">
        <v>9</v>
      </c>
      <c r="B249" s="1" t="s">
        <v>10</v>
      </c>
      <c r="C249" s="1" t="s">
        <v>11</v>
      </c>
      <c r="D249" s="1" t="s">
        <v>2042</v>
      </c>
      <c r="E249" s="1" t="s">
        <v>3118</v>
      </c>
      <c r="F249" s="1" t="str">
        <f>"022986020"</f>
        <v>022986020</v>
      </c>
      <c r="G249" s="1" t="str">
        <f>"8002535210"</f>
        <v>8002535210</v>
      </c>
      <c r="H249" s="1" t="s">
        <v>2637</v>
      </c>
    </row>
    <row r="250" spans="1:8" x14ac:dyDescent="0.25">
      <c r="A250" s="1" t="s">
        <v>2624</v>
      </c>
      <c r="B250" s="1" t="s">
        <v>2625</v>
      </c>
      <c r="C250" s="1" t="s">
        <v>2626</v>
      </c>
      <c r="D250" s="1" t="s">
        <v>2627</v>
      </c>
      <c r="E250" s="1" t="s">
        <v>2773</v>
      </c>
      <c r="F250" s="1" t="str">
        <f>"12212    "</f>
        <v xml:space="preserve">12212    </v>
      </c>
      <c r="G250" s="1" t="str">
        <f>"5184385500"</f>
        <v>5184385500</v>
      </c>
      <c r="H250" s="1" t="s">
        <v>2637</v>
      </c>
    </row>
    <row r="251" spans="1:8" x14ac:dyDescent="0.25">
      <c r="A251" s="1" t="s">
        <v>722</v>
      </c>
      <c r="B251" s="1" t="s">
        <v>723</v>
      </c>
      <c r="C251" s="1" t="str">
        <f>"70 NORTH MAIN STREET                              "</f>
        <v xml:space="preserve">70 NORTH MAIN STREET                              </v>
      </c>
      <c r="D251" s="1" t="s">
        <v>724</v>
      </c>
      <c r="E251" s="1" t="s">
        <v>2697</v>
      </c>
      <c r="F251" s="1" t="str">
        <f>"18711    "</f>
        <v xml:space="preserve">18711    </v>
      </c>
      <c r="G251" s="1" t="str">
        <f>"8008298599"</f>
        <v>8008298599</v>
      </c>
      <c r="H251" s="1" t="s">
        <v>2637</v>
      </c>
    </row>
    <row r="252" spans="1:8" x14ac:dyDescent="0.25">
      <c r="A252" s="1" t="s">
        <v>1516</v>
      </c>
      <c r="B252" s="1" t="s">
        <v>1517</v>
      </c>
      <c r="C252" s="1" t="s">
        <v>1518</v>
      </c>
      <c r="D252" s="1" t="s">
        <v>2776</v>
      </c>
      <c r="E252" s="1" t="s">
        <v>2714</v>
      </c>
      <c r="F252" s="1" t="str">
        <f>"43696    "</f>
        <v xml:space="preserve">43696    </v>
      </c>
      <c r="G252" s="1" t="str">
        <f>"8003621279"</f>
        <v>8003621279</v>
      </c>
      <c r="H252" s="1" t="s">
        <v>2637</v>
      </c>
    </row>
    <row r="253" spans="1:8" x14ac:dyDescent="0.25">
      <c r="A253" s="1" t="s">
        <v>3035</v>
      </c>
      <c r="B253" s="1" t="s">
        <v>3036</v>
      </c>
      <c r="C253" s="1" t="s">
        <v>3037</v>
      </c>
      <c r="D253" s="1" t="s">
        <v>3038</v>
      </c>
      <c r="E253" s="1" t="s">
        <v>3039</v>
      </c>
      <c r="F253" s="1" t="str">
        <f>"009366068"</f>
        <v>009366068</v>
      </c>
      <c r="G253" s="1" t="str">
        <f>"8097599898"</f>
        <v>8097599898</v>
      </c>
      <c r="H253" s="1" t="s">
        <v>2637</v>
      </c>
    </row>
    <row r="254" spans="1:8" x14ac:dyDescent="0.25">
      <c r="A254" s="1" t="s">
        <v>1649</v>
      </c>
      <c r="B254" s="1" t="s">
        <v>1650</v>
      </c>
      <c r="C254" s="1" t="s">
        <v>1651</v>
      </c>
      <c r="D254" s="1" t="s">
        <v>2977</v>
      </c>
      <c r="E254" s="1" t="s">
        <v>2858</v>
      </c>
      <c r="F254" s="1" t="str">
        <f>"981119159"</f>
        <v>981119159</v>
      </c>
      <c r="G254" s="1" t="str">
        <f>"8007221471"</f>
        <v>8007221471</v>
      </c>
      <c r="H254" s="1" t="s">
        <v>2637</v>
      </c>
    </row>
    <row r="255" spans="1:8" x14ac:dyDescent="0.25">
      <c r="A255" s="1" t="s">
        <v>3111</v>
      </c>
      <c r="B255" s="1" t="s">
        <v>3112</v>
      </c>
      <c r="C255" s="1" t="s">
        <v>3113</v>
      </c>
      <c r="D255" s="1" t="s">
        <v>2768</v>
      </c>
      <c r="E255" s="1" t="s">
        <v>2663</v>
      </c>
      <c r="F255" s="1" t="str">
        <f>"959272590"</f>
        <v>959272590</v>
      </c>
      <c r="G255" s="1" t="str">
        <f>"8887024171"</f>
        <v>8887024171</v>
      </c>
      <c r="H255" s="1" t="s">
        <v>2637</v>
      </c>
    </row>
    <row r="256" spans="1:8" x14ac:dyDescent="0.25">
      <c r="A256" s="1" t="s">
        <v>2765</v>
      </c>
      <c r="B256" s="1" t="s">
        <v>2766</v>
      </c>
      <c r="C256" s="1" t="s">
        <v>2767</v>
      </c>
      <c r="D256" s="1" t="s">
        <v>2768</v>
      </c>
      <c r="E256" s="1" t="s">
        <v>2663</v>
      </c>
      <c r="F256" s="1" t="str">
        <f>"959272590"</f>
        <v>959272590</v>
      </c>
      <c r="G256" s="1" t="str">
        <f>"8882351765"</f>
        <v>8882351765</v>
      </c>
      <c r="H256" s="1" t="s">
        <v>2637</v>
      </c>
    </row>
    <row r="257" spans="1:8" x14ac:dyDescent="0.25">
      <c r="A257" s="1" t="s">
        <v>1127</v>
      </c>
      <c r="B257" s="1" t="s">
        <v>1128</v>
      </c>
      <c r="C257" s="1" t="s">
        <v>1129</v>
      </c>
      <c r="D257" s="1" t="s">
        <v>2627</v>
      </c>
      <c r="E257" s="1" t="s">
        <v>2773</v>
      </c>
      <c r="F257" s="1" t="str">
        <f>"12212    "</f>
        <v xml:space="preserve">12212    </v>
      </c>
      <c r="G257" s="1" t="str">
        <f>"5184534600"</f>
        <v>5184534600</v>
      </c>
      <c r="H257" s="1" t="s">
        <v>2637</v>
      </c>
    </row>
    <row r="258" spans="1:8" x14ac:dyDescent="0.25">
      <c r="A258" s="1" t="s">
        <v>2369</v>
      </c>
      <c r="B258" s="1" t="s">
        <v>2370</v>
      </c>
      <c r="C258" s="1" t="s">
        <v>2371</v>
      </c>
      <c r="D258" s="1" t="s">
        <v>2794</v>
      </c>
      <c r="E258" s="1" t="s">
        <v>2744</v>
      </c>
      <c r="F258" s="1" t="str">
        <f>"40522    "</f>
        <v xml:space="preserve">40522    </v>
      </c>
      <c r="G258" s="1" t="str">
        <f>"8007872680"</f>
        <v>8007872680</v>
      </c>
      <c r="H258" s="1" t="s">
        <v>2637</v>
      </c>
    </row>
    <row r="259" spans="1:8" x14ac:dyDescent="0.25">
      <c r="A259" s="1" t="str">
        <f>"390  "</f>
        <v xml:space="preserve">390  </v>
      </c>
      <c r="B259" s="1" t="s">
        <v>892</v>
      </c>
      <c r="C259" s="1" t="s">
        <v>893</v>
      </c>
      <c r="D259" s="1" t="s">
        <v>2901</v>
      </c>
      <c r="E259" s="1" t="s">
        <v>2902</v>
      </c>
      <c r="F259" s="1" t="str">
        <f>"554590093"</f>
        <v>554590093</v>
      </c>
      <c r="G259" s="1" t="str">
        <f>"6123337651"</f>
        <v>6123337651</v>
      </c>
      <c r="H259" s="1" t="s">
        <v>2637</v>
      </c>
    </row>
    <row r="260" spans="1:8" x14ac:dyDescent="0.25">
      <c r="A260" s="1" t="str">
        <f>"337  "</f>
        <v xml:space="preserve">337  </v>
      </c>
      <c r="B260" s="1" t="s">
        <v>1310</v>
      </c>
      <c r="C260" s="1" t="s">
        <v>1311</v>
      </c>
      <c r="D260" s="1" t="s">
        <v>2752</v>
      </c>
      <c r="E260" s="1" t="s">
        <v>2697</v>
      </c>
      <c r="F260" s="1" t="str">
        <f>"19101    "</f>
        <v xml:space="preserve">19101    </v>
      </c>
      <c r="G260" s="1" t="str">
        <f>"8007737752"</f>
        <v>8007737752</v>
      </c>
      <c r="H260" s="1" t="s">
        <v>2637</v>
      </c>
    </row>
    <row r="261" spans="1:8" x14ac:dyDescent="0.25">
      <c r="A261" s="1" t="str">
        <f>"404  "</f>
        <v xml:space="preserve">404  </v>
      </c>
      <c r="B261" s="1" t="s">
        <v>1684</v>
      </c>
      <c r="C261" s="1" t="str">
        <f>"1700 WADE HAMPTON BLVD.                           "</f>
        <v xml:space="preserve">1700 WADE HAMPTON BLVD.                           </v>
      </c>
      <c r="D261" s="1" t="s">
        <v>2710</v>
      </c>
      <c r="E261" s="1" t="s">
        <v>2660</v>
      </c>
      <c r="F261" s="1" t="str">
        <f>"29614    "</f>
        <v xml:space="preserve">29614    </v>
      </c>
      <c r="G261" s="1" t="str">
        <f>"8643701800"</f>
        <v>8643701800</v>
      </c>
      <c r="H261" s="1" t="s">
        <v>2637</v>
      </c>
    </row>
    <row r="262" spans="1:8" x14ac:dyDescent="0.25">
      <c r="A262" s="1" t="str">
        <f>"190  "</f>
        <v xml:space="preserve">190  </v>
      </c>
      <c r="B262" s="1" t="s">
        <v>1659</v>
      </c>
      <c r="C262" s="1" t="str">
        <f>"754 MINNESOTA AVENUE, SUITE 522                   "</f>
        <v xml:space="preserve">754 MINNESOTA AVENUE, SUITE 522                   </v>
      </c>
      <c r="D262" s="1" t="s">
        <v>2685</v>
      </c>
      <c r="E262" s="1" t="s">
        <v>2749</v>
      </c>
      <c r="F262" s="1" t="str">
        <f>"661012762"</f>
        <v>661012762</v>
      </c>
      <c r="G262" s="1" t="str">
        <f>"9133426555"</f>
        <v>9133426555</v>
      </c>
      <c r="H262" s="1" t="s">
        <v>2637</v>
      </c>
    </row>
    <row r="263" spans="1:8" x14ac:dyDescent="0.25">
      <c r="A263" s="1" t="str">
        <f>"739  "</f>
        <v xml:space="preserve">739  </v>
      </c>
      <c r="B263" s="1" t="s">
        <v>713</v>
      </c>
      <c r="C263" s="1" t="s">
        <v>714</v>
      </c>
      <c r="D263" s="1" t="s">
        <v>715</v>
      </c>
      <c r="E263" s="1" t="s">
        <v>2821</v>
      </c>
      <c r="F263" s="1" t="str">
        <f>"07078    "</f>
        <v xml:space="preserve">07078    </v>
      </c>
      <c r="G263" s="1" t="str">
        <f>"8662670092"</f>
        <v>8662670092</v>
      </c>
      <c r="H263" s="1" t="s">
        <v>2637</v>
      </c>
    </row>
    <row r="264" spans="1:8" x14ac:dyDescent="0.25">
      <c r="A264" s="1" t="str">
        <f>"702  "</f>
        <v xml:space="preserve">702  </v>
      </c>
      <c r="B264" s="1" t="s">
        <v>2069</v>
      </c>
      <c r="C264" s="1" t="s">
        <v>2070</v>
      </c>
      <c r="D264" s="1" t="s">
        <v>2805</v>
      </c>
      <c r="E264" s="1" t="s">
        <v>2636</v>
      </c>
      <c r="F264" s="1" t="str">
        <f>"787669201"</f>
        <v>787669201</v>
      </c>
      <c r="G264" s="1" t="str">
        <f>"8002529653"</f>
        <v>8002529653</v>
      </c>
      <c r="H264" s="1" t="s">
        <v>2688</v>
      </c>
    </row>
    <row r="265" spans="1:8" x14ac:dyDescent="0.25">
      <c r="A265" s="1" t="s">
        <v>1397</v>
      </c>
      <c r="B265" s="1" t="s">
        <v>1398</v>
      </c>
      <c r="C265" s="1" t="str">
        <f>"120 ROYALL STREET                                 "</f>
        <v xml:space="preserve">120 ROYALL STREET                                 </v>
      </c>
      <c r="D265" s="1" t="s">
        <v>2246</v>
      </c>
      <c r="E265" s="1" t="s">
        <v>3118</v>
      </c>
      <c r="F265" s="1" t="str">
        <f>"02021    "</f>
        <v xml:space="preserve">02021    </v>
      </c>
      <c r="G265" s="1" t="str">
        <f>"6178287000"</f>
        <v>6178287000</v>
      </c>
      <c r="H265" s="1" t="s">
        <v>2637</v>
      </c>
    </row>
    <row r="266" spans="1:8" x14ac:dyDescent="0.25">
      <c r="A266" s="1" t="str">
        <f>"854  "</f>
        <v xml:space="preserve">854  </v>
      </c>
      <c r="B266" s="1" t="s">
        <v>1209</v>
      </c>
      <c r="C266" s="1" t="s">
        <v>1080</v>
      </c>
      <c r="D266" s="1" t="s">
        <v>1210</v>
      </c>
      <c r="E266" s="1" t="s">
        <v>3086</v>
      </c>
      <c r="F266" s="1" t="str">
        <f>"36016    "</f>
        <v xml:space="preserve">36016    </v>
      </c>
      <c r="G266" s="1" t="str">
        <f>"3347751284"</f>
        <v>3347751284</v>
      </c>
      <c r="H266" s="1" t="s">
        <v>2637</v>
      </c>
    </row>
    <row r="267" spans="1:8" x14ac:dyDescent="0.25">
      <c r="A267" s="1" t="s">
        <v>2535</v>
      </c>
      <c r="B267" s="1" t="s">
        <v>2536</v>
      </c>
      <c r="C267" s="1" t="s">
        <v>2537</v>
      </c>
      <c r="D267" s="1" t="s">
        <v>2652</v>
      </c>
      <c r="E267" s="1" t="s">
        <v>2647</v>
      </c>
      <c r="F267" s="1" t="str">
        <f>"21223    "</f>
        <v xml:space="preserve">21223    </v>
      </c>
      <c r="G267" s="1" t="str">
        <f>"8005561570"</f>
        <v>8005561570</v>
      </c>
      <c r="H267" s="1" t="s">
        <v>2795</v>
      </c>
    </row>
    <row r="268" spans="1:8" x14ac:dyDescent="0.25">
      <c r="A268" s="1" t="str">
        <f>"294  "</f>
        <v xml:space="preserve">294  </v>
      </c>
      <c r="B268" s="1" t="s">
        <v>3295</v>
      </c>
      <c r="C268" s="1" t="s">
        <v>3296</v>
      </c>
      <c r="D268" s="1" t="s">
        <v>2721</v>
      </c>
      <c r="E268" s="1" t="s">
        <v>2714</v>
      </c>
      <c r="F268" s="1" t="str">
        <f>"44319    "</f>
        <v xml:space="preserve">44319    </v>
      </c>
      <c r="G268" s="1" t="str">
        <f>"8002378447"</f>
        <v>8002378447</v>
      </c>
      <c r="H268" s="1" t="s">
        <v>2637</v>
      </c>
    </row>
    <row r="269" spans="1:8" x14ac:dyDescent="0.25">
      <c r="A269" s="1" t="str">
        <f>"852  "</f>
        <v xml:space="preserve">852  </v>
      </c>
      <c r="B269" s="1" t="s">
        <v>66</v>
      </c>
      <c r="C269" s="1" t="s">
        <v>67</v>
      </c>
      <c r="D269" s="1" t="s">
        <v>2067</v>
      </c>
      <c r="E269" s="1" t="s">
        <v>2677</v>
      </c>
      <c r="F269" s="1" t="str">
        <f>"276240006"</f>
        <v>276240006</v>
      </c>
      <c r="G269" s="1" t="str">
        <f>"8008094861"</f>
        <v>8008094861</v>
      </c>
      <c r="H269" s="1" t="s">
        <v>2637</v>
      </c>
    </row>
    <row r="270" spans="1:8" x14ac:dyDescent="0.25">
      <c r="A270" s="1" t="str">
        <f>"304  "</f>
        <v xml:space="preserve">304  </v>
      </c>
      <c r="B270" s="1" t="s">
        <v>895</v>
      </c>
      <c r="C270" s="1" t="s">
        <v>896</v>
      </c>
      <c r="D270" s="1" t="s">
        <v>897</v>
      </c>
      <c r="E270" s="1" t="s">
        <v>3264</v>
      </c>
      <c r="F270" s="1" t="str">
        <f>"528083310"</f>
        <v>528083310</v>
      </c>
      <c r="G270" s="1" t="str">
        <f>"8669272200"</f>
        <v>8669272200</v>
      </c>
      <c r="H270" s="1" t="s">
        <v>2637</v>
      </c>
    </row>
    <row r="271" spans="1:8" x14ac:dyDescent="0.25">
      <c r="A271" s="1" t="str">
        <f>"262  "</f>
        <v xml:space="preserve">262  </v>
      </c>
      <c r="B271" s="1" t="s">
        <v>426</v>
      </c>
      <c r="C271" s="1" t="s">
        <v>427</v>
      </c>
      <c r="D271" s="1" t="s">
        <v>428</v>
      </c>
      <c r="E271" s="1" t="s">
        <v>2663</v>
      </c>
      <c r="F271" s="1" t="str">
        <f>"926906080"</f>
        <v>926906080</v>
      </c>
      <c r="G271" s="1" t="str">
        <f>"8887302244"</f>
        <v>8887302244</v>
      </c>
      <c r="H271" s="1" t="s">
        <v>2637</v>
      </c>
    </row>
    <row r="272" spans="1:8" x14ac:dyDescent="0.25">
      <c r="A272" s="1" t="str">
        <f>"658  "</f>
        <v xml:space="preserve">658  </v>
      </c>
      <c r="B272" s="1" t="s">
        <v>701</v>
      </c>
      <c r="C272" s="1" t="str">
        <f>"-                                                 "</f>
        <v xml:space="preserve">-                                                 </v>
      </c>
      <c r="D272" s="1" t="str">
        <f>"-                                      "</f>
        <v xml:space="preserve">-                                      </v>
      </c>
      <c r="E272" s="1" t="str">
        <f>"- "</f>
        <v xml:space="preserve">- </v>
      </c>
      <c r="F272" s="1" t="str">
        <f>"-        "</f>
        <v xml:space="preserve">-        </v>
      </c>
      <c r="G272" s="1" t="s">
        <v>2637</v>
      </c>
      <c r="H272" s="1" t="s">
        <v>2637</v>
      </c>
    </row>
    <row r="273" spans="1:8" x14ac:dyDescent="0.25">
      <c r="A273" s="1" t="str">
        <f>"973  "</f>
        <v xml:space="preserve">973  </v>
      </c>
      <c r="B273" s="1" t="s">
        <v>1919</v>
      </c>
      <c r="C273" s="1" t="s">
        <v>1920</v>
      </c>
      <c r="D273" s="1" t="s">
        <v>2643</v>
      </c>
      <c r="E273" s="1" t="s">
        <v>2644</v>
      </c>
      <c r="F273" s="1" t="str">
        <f>"49501    "</f>
        <v xml:space="preserve">49501    </v>
      </c>
      <c r="G273" s="1" t="str">
        <f>"8007669780"</f>
        <v>8007669780</v>
      </c>
      <c r="H273" s="1" t="s">
        <v>1921</v>
      </c>
    </row>
    <row r="274" spans="1:8" x14ac:dyDescent="0.25">
      <c r="A274" s="1" t="str">
        <f>"832  "</f>
        <v xml:space="preserve">832  </v>
      </c>
      <c r="B274" s="1" t="s">
        <v>639</v>
      </c>
      <c r="C274" s="1" t="str">
        <f>"6100 LAKE FOREST DRIVE                            "</f>
        <v xml:space="preserve">6100 LAKE FOREST DRIVE                            </v>
      </c>
      <c r="D274" s="1" t="s">
        <v>2717</v>
      </c>
      <c r="E274" s="1" t="s">
        <v>2681</v>
      </c>
      <c r="F274" s="1" t="str">
        <f>"30328    "</f>
        <v xml:space="preserve">30328    </v>
      </c>
      <c r="G274" s="1" t="str">
        <f>"8003879919"</f>
        <v>8003879919</v>
      </c>
      <c r="H274" s="1" t="s">
        <v>2637</v>
      </c>
    </row>
    <row r="275" spans="1:8" x14ac:dyDescent="0.25">
      <c r="A275" s="1" t="str">
        <f>"998  "</f>
        <v xml:space="preserve">998  </v>
      </c>
      <c r="B275" s="1" t="s">
        <v>1137</v>
      </c>
      <c r="C275" s="1" t="str">
        <f>"6201 POWERS FERRY RD. STE. 100                    "</f>
        <v xml:space="preserve">6201 POWERS FERRY RD. STE. 100                    </v>
      </c>
      <c r="D275" s="1" t="s">
        <v>2717</v>
      </c>
      <c r="E275" s="1" t="s">
        <v>2681</v>
      </c>
      <c r="F275" s="1" t="str">
        <f>"30348    "</f>
        <v xml:space="preserve">30348    </v>
      </c>
      <c r="G275" s="1" t="str">
        <f>"8003332542"</f>
        <v>8003332542</v>
      </c>
      <c r="H275" s="1" t="s">
        <v>2637</v>
      </c>
    </row>
    <row r="276" spans="1:8" x14ac:dyDescent="0.25">
      <c r="A276" s="1" t="s">
        <v>546</v>
      </c>
      <c r="B276" s="1" t="s">
        <v>547</v>
      </c>
      <c r="C276" s="1" t="s">
        <v>548</v>
      </c>
      <c r="D276" s="1" t="s">
        <v>3289</v>
      </c>
      <c r="E276" s="1" t="s">
        <v>2697</v>
      </c>
      <c r="F276" s="1" t="str">
        <f>"171779503"</f>
        <v>171779503</v>
      </c>
      <c r="G276" s="1" t="str">
        <f>"8009622242"</f>
        <v>8009622242</v>
      </c>
      <c r="H276" s="1" t="s">
        <v>2637</v>
      </c>
    </row>
    <row r="277" spans="1:8" x14ac:dyDescent="0.25">
      <c r="A277" s="1" t="str">
        <f>"274  "</f>
        <v xml:space="preserve">274  </v>
      </c>
      <c r="B277" s="1" t="s">
        <v>1322</v>
      </c>
      <c r="C277" s="1" t="s">
        <v>1323</v>
      </c>
      <c r="D277" s="1" t="s">
        <v>2627</v>
      </c>
      <c r="E277" s="1" t="s">
        <v>2773</v>
      </c>
      <c r="F277" s="1" t="str">
        <f>"122066602"</f>
        <v>122066602</v>
      </c>
      <c r="G277" s="1" t="str">
        <f>"8009267526"</f>
        <v>8009267526</v>
      </c>
      <c r="H277" s="1" t="s">
        <v>2637</v>
      </c>
    </row>
    <row r="278" spans="1:8" x14ac:dyDescent="0.25">
      <c r="A278" s="1" t="str">
        <f>"966  "</f>
        <v xml:space="preserve">966  </v>
      </c>
      <c r="B278" s="1" t="s">
        <v>2572</v>
      </c>
      <c r="C278" s="1" t="s">
        <v>2573</v>
      </c>
      <c r="D278" s="1" t="s">
        <v>2052</v>
      </c>
      <c r="E278" s="1" t="s">
        <v>2681</v>
      </c>
      <c r="F278" s="1" t="str">
        <f>"30009    "</f>
        <v xml:space="preserve">30009    </v>
      </c>
      <c r="G278" s="1" t="str">
        <f>"8886506566"</f>
        <v>8886506566</v>
      </c>
      <c r="H278" s="1" t="s">
        <v>2637</v>
      </c>
    </row>
    <row r="279" spans="1:8" x14ac:dyDescent="0.25">
      <c r="A279" s="1" t="str">
        <f>"166  "</f>
        <v xml:space="preserve">166  </v>
      </c>
      <c r="B279" s="1" t="s">
        <v>2405</v>
      </c>
      <c r="C279" s="1" t="s">
        <v>2406</v>
      </c>
      <c r="D279" s="1" t="s">
        <v>2713</v>
      </c>
      <c r="E279" s="1" t="s">
        <v>2714</v>
      </c>
      <c r="F279" s="1" t="str">
        <f>"441014953"</f>
        <v>441014953</v>
      </c>
      <c r="G279" s="1" t="str">
        <f>"2166966400"</f>
        <v>2166966400</v>
      </c>
      <c r="H279" s="1" t="s">
        <v>2637</v>
      </c>
    </row>
    <row r="280" spans="1:8" x14ac:dyDescent="0.25">
      <c r="A280" s="1" t="str">
        <f>"128  "</f>
        <v xml:space="preserve">128  </v>
      </c>
      <c r="B280" s="1" t="s">
        <v>1974</v>
      </c>
      <c r="C280" s="1" t="s">
        <v>1975</v>
      </c>
      <c r="D280" s="1" t="s">
        <v>2825</v>
      </c>
      <c r="E280" s="1" t="s">
        <v>2826</v>
      </c>
      <c r="F280" s="1" t="str">
        <f>"80201    "</f>
        <v xml:space="preserve">80201    </v>
      </c>
      <c r="G280" s="1" t="str">
        <f>"8005252115"</f>
        <v>8005252115</v>
      </c>
      <c r="H280" s="1" t="s">
        <v>1976</v>
      </c>
    </row>
    <row r="281" spans="1:8" x14ac:dyDescent="0.25">
      <c r="A281" s="1" t="s">
        <v>529</v>
      </c>
      <c r="B281" s="1" t="s">
        <v>530</v>
      </c>
      <c r="C281" s="1" t="s">
        <v>531</v>
      </c>
      <c r="D281" s="1" t="s">
        <v>2083</v>
      </c>
      <c r="E281" s="1" t="s">
        <v>2697</v>
      </c>
      <c r="F281" s="1" t="str">
        <f>"18505    "</f>
        <v xml:space="preserve">18505    </v>
      </c>
      <c r="G281" s="1" t="str">
        <f>"8666862506"</f>
        <v>8666862506</v>
      </c>
      <c r="H281" s="1" t="s">
        <v>2795</v>
      </c>
    </row>
    <row r="282" spans="1:8" x14ac:dyDescent="0.25">
      <c r="A282" s="1" t="str">
        <f>"764  "</f>
        <v xml:space="preserve">764  </v>
      </c>
      <c r="B282" s="1" t="s">
        <v>457</v>
      </c>
      <c r="C282" s="1" t="s">
        <v>458</v>
      </c>
      <c r="D282" s="1" t="s">
        <v>2791</v>
      </c>
      <c r="E282" s="1" t="s">
        <v>2744</v>
      </c>
      <c r="F282" s="1" t="str">
        <f>"407427373"</f>
        <v>407427373</v>
      </c>
      <c r="G282" s="1" t="str">
        <f>"8003482922"</f>
        <v>8003482922</v>
      </c>
      <c r="H282" s="1" t="s">
        <v>2637</v>
      </c>
    </row>
    <row r="283" spans="1:8" x14ac:dyDescent="0.25">
      <c r="A283" s="1" t="s">
        <v>177</v>
      </c>
      <c r="B283" s="1" t="s">
        <v>178</v>
      </c>
      <c r="C283" s="1" t="s">
        <v>179</v>
      </c>
      <c r="D283" s="1" t="s">
        <v>1206</v>
      </c>
      <c r="E283" s="1" t="s">
        <v>2714</v>
      </c>
      <c r="F283" s="1" t="str">
        <f>"45402    "</f>
        <v xml:space="preserve">45402    </v>
      </c>
      <c r="G283" s="1" t="str">
        <f>"8004880134"</f>
        <v>8004880134</v>
      </c>
      <c r="H283" s="1" t="s">
        <v>2637</v>
      </c>
    </row>
    <row r="284" spans="1:8" x14ac:dyDescent="0.25">
      <c r="A284" s="1" t="str">
        <f>"151  "</f>
        <v xml:space="preserve">151  </v>
      </c>
      <c r="B284" s="1" t="s">
        <v>700</v>
      </c>
      <c r="C284" s="1" t="s">
        <v>458</v>
      </c>
      <c r="D284" s="1" t="s">
        <v>2791</v>
      </c>
      <c r="E284" s="1" t="s">
        <v>2744</v>
      </c>
      <c r="F284" s="1" t="str">
        <f>"40742    "</f>
        <v xml:space="preserve">40742    </v>
      </c>
      <c r="G284" s="1" t="str">
        <f>"8003482922"</f>
        <v>8003482922</v>
      </c>
      <c r="H284" s="1" t="s">
        <v>3195</v>
      </c>
    </row>
    <row r="285" spans="1:8" x14ac:dyDescent="0.25">
      <c r="A285" s="1" t="str">
        <f>"471  "</f>
        <v xml:space="preserve">471  </v>
      </c>
      <c r="B285" s="1" t="s">
        <v>756</v>
      </c>
      <c r="C285" s="1" t="s">
        <v>757</v>
      </c>
      <c r="D285" s="1" t="s">
        <v>2808</v>
      </c>
      <c r="E285" s="1" t="s">
        <v>2809</v>
      </c>
      <c r="F285" s="1" t="str">
        <f>"850722195"</f>
        <v>850722195</v>
      </c>
      <c r="G285" s="1" t="str">
        <f>"8003030187"</f>
        <v>8003030187</v>
      </c>
      <c r="H285" s="1" t="s">
        <v>2637</v>
      </c>
    </row>
    <row r="286" spans="1:8" x14ac:dyDescent="0.25">
      <c r="A286" s="1" t="str">
        <f>"280  "</f>
        <v xml:space="preserve">280  </v>
      </c>
      <c r="B286" s="1" t="s">
        <v>34</v>
      </c>
      <c r="C286" s="1" t="s">
        <v>35</v>
      </c>
      <c r="D286" s="1" t="s">
        <v>2808</v>
      </c>
      <c r="E286" s="1" t="s">
        <v>2809</v>
      </c>
      <c r="F286" s="1" t="str">
        <f>"850722196"</f>
        <v>850722196</v>
      </c>
      <c r="G286" s="1" t="str">
        <f>"8008415550"</f>
        <v>8008415550</v>
      </c>
      <c r="H286" s="1" t="s">
        <v>36</v>
      </c>
    </row>
    <row r="287" spans="1:8" x14ac:dyDescent="0.25">
      <c r="A287" s="1" t="str">
        <f>"903  "</f>
        <v xml:space="preserve">903  </v>
      </c>
      <c r="B287" s="1" t="s">
        <v>300</v>
      </c>
      <c r="C287" s="1" t="s">
        <v>301</v>
      </c>
      <c r="D287" s="1" t="s">
        <v>2981</v>
      </c>
      <c r="E287" s="1" t="s">
        <v>2832</v>
      </c>
      <c r="F287" s="1" t="str">
        <f>"336313286"</f>
        <v>336313286</v>
      </c>
      <c r="G287" s="1" t="str">
        <f>"8008674445"</f>
        <v>8008674445</v>
      </c>
      <c r="H287" s="1" t="s">
        <v>2760</v>
      </c>
    </row>
    <row r="288" spans="1:8" x14ac:dyDescent="0.25">
      <c r="A288" s="1" t="s">
        <v>1376</v>
      </c>
      <c r="B288" s="1" t="s">
        <v>1377</v>
      </c>
      <c r="C288" s="1" t="s">
        <v>1378</v>
      </c>
      <c r="D288" s="1" t="s">
        <v>2969</v>
      </c>
      <c r="E288" s="1" t="s">
        <v>2970</v>
      </c>
      <c r="F288" s="1" t="str">
        <f>"37933    "</f>
        <v xml:space="preserve">37933    </v>
      </c>
      <c r="G288" s="1" t="str">
        <f>"8002840042"</f>
        <v>8002840042</v>
      </c>
      <c r="H288" s="1" t="s">
        <v>2735</v>
      </c>
    </row>
    <row r="289" spans="1:8" x14ac:dyDescent="0.25">
      <c r="A289" s="1" t="s">
        <v>1275</v>
      </c>
      <c r="B289" s="1" t="s">
        <v>1276</v>
      </c>
      <c r="C289" s="1" t="s">
        <v>1277</v>
      </c>
      <c r="D289" s="1" t="s">
        <v>2969</v>
      </c>
      <c r="E289" s="1" t="s">
        <v>2970</v>
      </c>
      <c r="F289" s="1" t="str">
        <f>"37933    "</f>
        <v xml:space="preserve">37933    </v>
      </c>
      <c r="G289" s="1" t="str">
        <f>"8656707790"</f>
        <v>8656707790</v>
      </c>
      <c r="H289" s="1" t="s">
        <v>2795</v>
      </c>
    </row>
    <row r="290" spans="1:8" x14ac:dyDescent="0.25">
      <c r="A290" s="1" t="str">
        <f>"945  "</f>
        <v xml:space="preserve">945  </v>
      </c>
      <c r="B290" s="1" t="s">
        <v>274</v>
      </c>
      <c r="C290" s="1" t="s">
        <v>275</v>
      </c>
      <c r="D290" s="1" t="s">
        <v>3013</v>
      </c>
      <c r="E290" s="1" t="s">
        <v>2660</v>
      </c>
      <c r="F290" s="1" t="str">
        <f>"29413    "</f>
        <v xml:space="preserve">29413    </v>
      </c>
      <c r="G290" s="1" t="str">
        <f>"8008100906"</f>
        <v>8008100906</v>
      </c>
      <c r="H290" s="1" t="s">
        <v>2240</v>
      </c>
    </row>
    <row r="291" spans="1:8" x14ac:dyDescent="0.25">
      <c r="A291" s="1" t="s">
        <v>1908</v>
      </c>
      <c r="B291" s="1" t="s">
        <v>1909</v>
      </c>
      <c r="C291" s="1" t="s">
        <v>1910</v>
      </c>
      <c r="D291" s="1" t="s">
        <v>2036</v>
      </c>
      <c r="E291" s="1" t="s">
        <v>2677</v>
      </c>
      <c r="F291" s="1" t="str">
        <f>"271571137"</f>
        <v>271571137</v>
      </c>
      <c r="G291" s="1" t="str">
        <f>"8004757900"</f>
        <v>8004757900</v>
      </c>
      <c r="H291" s="1" t="s">
        <v>2637</v>
      </c>
    </row>
    <row r="292" spans="1:8" x14ac:dyDescent="0.25">
      <c r="A292" s="1" t="str">
        <f>"498  "</f>
        <v xml:space="preserve">498  </v>
      </c>
      <c r="B292" s="1" t="s">
        <v>953</v>
      </c>
      <c r="C292" s="1" t="s">
        <v>954</v>
      </c>
      <c r="D292" s="1" t="s">
        <v>2616</v>
      </c>
      <c r="E292" s="1" t="s">
        <v>2660</v>
      </c>
      <c r="F292" s="1" t="str">
        <f>"29304    "</f>
        <v xml:space="preserve">29304    </v>
      </c>
      <c r="G292" s="1" t="str">
        <f>"8645736937"</f>
        <v>8645736937</v>
      </c>
      <c r="H292" s="1" t="s">
        <v>2637</v>
      </c>
    </row>
    <row r="293" spans="1:8" x14ac:dyDescent="0.25">
      <c r="A293" s="1" t="str">
        <f>"445  "</f>
        <v xml:space="preserve">445  </v>
      </c>
      <c r="B293" s="1" t="s">
        <v>365</v>
      </c>
      <c r="C293" s="1" t="s">
        <v>366</v>
      </c>
      <c r="D293" s="1" t="s">
        <v>2713</v>
      </c>
      <c r="E293" s="1" t="s">
        <v>2714</v>
      </c>
      <c r="F293" s="1" t="str">
        <f>"441011018"</f>
        <v>441011018</v>
      </c>
      <c r="G293" s="1" t="str">
        <f>"8003153143"</f>
        <v>8003153143</v>
      </c>
      <c r="H293" s="1" t="str">
        <f>" ALSO KNOWN AS SUPERMED     ANOTHER PHONE # 800-232-3143                                                                                    "</f>
        <v xml:space="preserve"> ALSO KNOWN AS SUPERMED     ANOTHER PHONE # 800-232-3143                                                                                    </v>
      </c>
    </row>
    <row r="294" spans="1:8" x14ac:dyDescent="0.25">
      <c r="A294" s="1" t="str">
        <f>"723  "</f>
        <v xml:space="preserve">723  </v>
      </c>
      <c r="B294" s="1" t="s">
        <v>1369</v>
      </c>
      <c r="C294" s="1" t="s">
        <v>1370</v>
      </c>
      <c r="D294" s="1" t="s">
        <v>2701</v>
      </c>
      <c r="E294" s="1" t="s">
        <v>2660</v>
      </c>
      <c r="F294" s="1" t="str">
        <f>"29202    "</f>
        <v xml:space="preserve">29202    </v>
      </c>
      <c r="G294" s="1" t="str">
        <f>"8032566265"</f>
        <v>8032566265</v>
      </c>
      <c r="H294" s="1" t="s">
        <v>2637</v>
      </c>
    </row>
    <row r="295" spans="1:8" x14ac:dyDescent="0.25">
      <c r="A295" s="1" t="s">
        <v>535</v>
      </c>
      <c r="B295" s="1" t="s">
        <v>536</v>
      </c>
      <c r="C295" s="1" t="str">
        <f>"1201 MAIN ST. STE 970                             "</f>
        <v xml:space="preserve">1201 MAIN ST. STE 970                             </v>
      </c>
      <c r="D295" s="1" t="s">
        <v>2701</v>
      </c>
      <c r="E295" s="1" t="s">
        <v>2660</v>
      </c>
      <c r="F295" s="1" t="str">
        <f>"29201    "</f>
        <v xml:space="preserve">29201    </v>
      </c>
      <c r="G295" s="1" t="str">
        <f>"8032516630"</f>
        <v>8032516630</v>
      </c>
      <c r="H295" s="1" t="s">
        <v>3105</v>
      </c>
    </row>
    <row r="296" spans="1:8" x14ac:dyDescent="0.25">
      <c r="A296" s="1" t="str">
        <f>"559  "</f>
        <v xml:space="preserve">559  </v>
      </c>
      <c r="B296" s="1" t="s">
        <v>3292</v>
      </c>
      <c r="C296" s="1" t="s">
        <v>3293</v>
      </c>
      <c r="D296" s="1" t="s">
        <v>3294</v>
      </c>
      <c r="E296" s="1" t="s">
        <v>2660</v>
      </c>
      <c r="F296" s="1" t="str">
        <f>"295010659"</f>
        <v>295010659</v>
      </c>
      <c r="G296" s="1" t="str">
        <f>"8436613875"</f>
        <v>8436613875</v>
      </c>
      <c r="H296" s="1" t="s">
        <v>2637</v>
      </c>
    </row>
    <row r="297" spans="1:8" x14ac:dyDescent="0.25">
      <c r="A297" s="1" t="str">
        <f>"623  "</f>
        <v xml:space="preserve">623  </v>
      </c>
      <c r="B297" s="1" t="s">
        <v>1682</v>
      </c>
      <c r="C297" s="1" t="str">
        <f>"201 EXECUTIVE CENTER DRIVE                        "</f>
        <v xml:space="preserve">201 EXECUTIVE CENTER DRIVE                        </v>
      </c>
      <c r="D297" s="1" t="s">
        <v>2701</v>
      </c>
      <c r="E297" s="1" t="s">
        <v>2660</v>
      </c>
      <c r="F297" s="1" t="str">
        <f>"29210    "</f>
        <v xml:space="preserve">29210    </v>
      </c>
      <c r="G297" s="1" t="str">
        <f>"8037507473"</f>
        <v>8037507473</v>
      </c>
      <c r="H297" s="1" t="s">
        <v>1683</v>
      </c>
    </row>
    <row r="298" spans="1:8" x14ac:dyDescent="0.25">
      <c r="A298" s="1" t="s">
        <v>1774</v>
      </c>
      <c r="B298" s="1" t="s">
        <v>1775</v>
      </c>
      <c r="C298" s="1" t="str">
        <f>"3611 CHESTER AVE                                  "</f>
        <v xml:space="preserve">3611 CHESTER AVE                                  </v>
      </c>
      <c r="D298" s="1" t="s">
        <v>2713</v>
      </c>
      <c r="E298" s="1" t="s">
        <v>2714</v>
      </c>
      <c r="F298" s="1" t="str">
        <f>"44114    "</f>
        <v xml:space="preserve">44114    </v>
      </c>
      <c r="G298" s="1" t="str">
        <f>"8004213959"</f>
        <v>8004213959</v>
      </c>
      <c r="H298" s="1" t="s">
        <v>2760</v>
      </c>
    </row>
    <row r="299" spans="1:8" x14ac:dyDescent="0.25">
      <c r="A299" s="1" t="str">
        <f>"336  "</f>
        <v xml:space="preserve">336  </v>
      </c>
      <c r="B299" s="1" t="s">
        <v>3282</v>
      </c>
      <c r="C299" s="1" t="s">
        <v>3283</v>
      </c>
      <c r="D299" s="1" t="s">
        <v>3284</v>
      </c>
      <c r="E299" s="1" t="s">
        <v>2773</v>
      </c>
      <c r="F299" s="1" t="str">
        <f>"12167    "</f>
        <v xml:space="preserve">12167    </v>
      </c>
      <c r="G299" s="1" t="str">
        <f>"8009626294"</f>
        <v>8009626294</v>
      </c>
      <c r="H299" s="1" t="s">
        <v>2735</v>
      </c>
    </row>
    <row r="300" spans="1:8" x14ac:dyDescent="0.25">
      <c r="A300" s="1" t="s">
        <v>2271</v>
      </c>
      <c r="B300" s="1" t="s">
        <v>2272</v>
      </c>
      <c r="C300" s="1" t="str">
        <f>"-                                                 "</f>
        <v xml:space="preserve">-                                                 </v>
      </c>
      <c r="D300" s="1" t="str">
        <f>"-                                      "</f>
        <v xml:space="preserve">-                                      </v>
      </c>
      <c r="E300" s="1" t="str">
        <f>"- "</f>
        <v xml:space="preserve">- </v>
      </c>
      <c r="F300" s="1" t="str">
        <f>"-        "</f>
        <v xml:space="preserve">-        </v>
      </c>
      <c r="G300" s="1" t="s">
        <v>2637</v>
      </c>
      <c r="H300" s="1" t="s">
        <v>2637</v>
      </c>
    </row>
    <row r="301" spans="1:8" x14ac:dyDescent="0.25">
      <c r="A301" s="1" t="str">
        <f>"366  "</f>
        <v xml:space="preserve">366  </v>
      </c>
      <c r="B301" s="1" t="s">
        <v>1329</v>
      </c>
      <c r="C301" s="1" t="s">
        <v>1330</v>
      </c>
      <c r="D301" s="1" t="s">
        <v>2755</v>
      </c>
      <c r="E301" s="1" t="s">
        <v>2647</v>
      </c>
      <c r="F301" s="1" t="str">
        <f>"20849    "</f>
        <v xml:space="preserve">20849    </v>
      </c>
      <c r="G301" s="1" t="str">
        <f>"8009973784"</f>
        <v>8009973784</v>
      </c>
      <c r="H301" s="1" t="s">
        <v>2637</v>
      </c>
    </row>
    <row r="302" spans="1:8" x14ac:dyDescent="0.25">
      <c r="A302" s="1" t="str">
        <f>"572  "</f>
        <v xml:space="preserve">572  </v>
      </c>
      <c r="B302" s="1" t="s">
        <v>2911</v>
      </c>
      <c r="C302" s="1" t="str">
        <f>"8300 E MAPLEWOOD AVE                              "</f>
        <v xml:space="preserve">8300 E MAPLEWOOD AVE                              </v>
      </c>
      <c r="D302" s="1" t="s">
        <v>2912</v>
      </c>
      <c r="E302" s="1" t="s">
        <v>2826</v>
      </c>
      <c r="F302" s="1" t="str">
        <f>"80111    "</f>
        <v xml:space="preserve">80111    </v>
      </c>
      <c r="G302" s="1" t="str">
        <f>"8778398119"</f>
        <v>8778398119</v>
      </c>
      <c r="H302" s="1" t="s">
        <v>2913</v>
      </c>
    </row>
    <row r="303" spans="1:8" x14ac:dyDescent="0.25">
      <c r="A303" s="1" t="s">
        <v>2558</v>
      </c>
      <c r="B303" s="1" t="s">
        <v>2559</v>
      </c>
      <c r="C303" s="1" t="s">
        <v>2560</v>
      </c>
      <c r="D303" s="1" t="s">
        <v>2561</v>
      </c>
      <c r="E303" s="1" t="s">
        <v>2826</v>
      </c>
      <c r="F303" s="1" t="str">
        <f>"809622920"</f>
        <v>809622920</v>
      </c>
      <c r="G303" s="1" t="str">
        <f>"3094942363"</f>
        <v>3094942363</v>
      </c>
      <c r="H303" s="1" t="s">
        <v>2637</v>
      </c>
    </row>
    <row r="304" spans="1:8" x14ac:dyDescent="0.25">
      <c r="A304" s="1" t="s">
        <v>2898</v>
      </c>
      <c r="B304" s="1" t="s">
        <v>2899</v>
      </c>
      <c r="C304" s="1" t="s">
        <v>2900</v>
      </c>
      <c r="D304" s="1" t="s">
        <v>2901</v>
      </c>
      <c r="E304" s="1" t="s">
        <v>2902</v>
      </c>
      <c r="F304" s="1" t="str">
        <f>"554400535"</f>
        <v>554400535</v>
      </c>
      <c r="G304" s="1" t="str">
        <f>"8884465710"</f>
        <v>8884465710</v>
      </c>
      <c r="H304" s="1" t="s">
        <v>2760</v>
      </c>
    </row>
    <row r="305" spans="1:8" x14ac:dyDescent="0.25">
      <c r="A305" s="1" t="str">
        <f>"339  "</f>
        <v xml:space="preserve">339  </v>
      </c>
      <c r="B305" s="1" t="s">
        <v>241</v>
      </c>
      <c r="C305" s="1" t="s">
        <v>242</v>
      </c>
      <c r="D305" s="1" t="s">
        <v>2705</v>
      </c>
      <c r="E305" s="1" t="s">
        <v>2706</v>
      </c>
      <c r="F305" s="1" t="str">
        <f>"462030839"</f>
        <v>462030839</v>
      </c>
      <c r="G305" s="1" t="str">
        <f>"8004777870"</f>
        <v>8004777870</v>
      </c>
      <c r="H305" s="1" t="s">
        <v>2637</v>
      </c>
    </row>
    <row r="306" spans="1:8" x14ac:dyDescent="0.25">
      <c r="A306" s="1" t="str">
        <f>"907  "</f>
        <v xml:space="preserve">907  </v>
      </c>
      <c r="B306" s="1" t="s">
        <v>1374</v>
      </c>
      <c r="C306" s="1" t="s">
        <v>1375</v>
      </c>
      <c r="D306" s="1" t="s">
        <v>2939</v>
      </c>
      <c r="E306" s="1" t="s">
        <v>2667</v>
      </c>
      <c r="F306" s="1" t="str">
        <f>"53744    "</f>
        <v xml:space="preserve">53744    </v>
      </c>
      <c r="G306" s="1" t="str">
        <f>"8007662525"</f>
        <v>8007662525</v>
      </c>
      <c r="H306" s="1" t="s">
        <v>2637</v>
      </c>
    </row>
    <row r="307" spans="1:8" x14ac:dyDescent="0.25">
      <c r="A307" s="1" t="s">
        <v>1519</v>
      </c>
      <c r="B307" s="1" t="s">
        <v>1520</v>
      </c>
      <c r="C307" s="1" t="s">
        <v>1521</v>
      </c>
      <c r="D307" s="1" t="s">
        <v>2923</v>
      </c>
      <c r="E307" s="1" t="s">
        <v>2714</v>
      </c>
      <c r="F307" s="1" t="str">
        <f>"43216    "</f>
        <v xml:space="preserve">43216    </v>
      </c>
      <c r="G307" s="1" t="str">
        <f>"6144645870"</f>
        <v>6144645870</v>
      </c>
      <c r="H307" s="1" t="s">
        <v>2637</v>
      </c>
    </row>
    <row r="308" spans="1:8" x14ac:dyDescent="0.25">
      <c r="A308" s="1" t="str">
        <f>"273  "</f>
        <v xml:space="preserve">273  </v>
      </c>
      <c r="B308" s="1" t="s">
        <v>417</v>
      </c>
      <c r="C308" s="1" t="s">
        <v>418</v>
      </c>
      <c r="D308" s="1" t="s">
        <v>2871</v>
      </c>
      <c r="E308" s="1" t="s">
        <v>2636</v>
      </c>
      <c r="F308" s="1" t="str">
        <f>"85261    "</f>
        <v xml:space="preserve">85261    </v>
      </c>
      <c r="G308" s="1" t="str">
        <f>"8007725924"</f>
        <v>8007725924</v>
      </c>
      <c r="H308" s="1" t="s">
        <v>2688</v>
      </c>
    </row>
    <row r="309" spans="1:8" x14ac:dyDescent="0.25">
      <c r="A309" s="1" t="s">
        <v>1859</v>
      </c>
      <c r="B309" s="1" t="s">
        <v>1860</v>
      </c>
      <c r="C309" s="1" t="str">
        <f>"17800 ROYALTON RD.                                "</f>
        <v xml:space="preserve">17800 ROYALTON RD.                                </v>
      </c>
      <c r="D309" s="1" t="s">
        <v>1861</v>
      </c>
      <c r="E309" s="1" t="s">
        <v>2714</v>
      </c>
      <c r="F309" s="1" t="str">
        <f>"441365197"</f>
        <v>441365197</v>
      </c>
      <c r="G309" s="1" t="str">
        <f>"8003213997"</f>
        <v>8003213997</v>
      </c>
      <c r="H309" s="1" t="s">
        <v>2637</v>
      </c>
    </row>
    <row r="310" spans="1:8" x14ac:dyDescent="0.25">
      <c r="A310" s="1" t="str">
        <f>"507  "</f>
        <v xml:space="preserve">507  </v>
      </c>
      <c r="B310" s="1" t="s">
        <v>1609</v>
      </c>
      <c r="C310" s="1" t="s">
        <v>1610</v>
      </c>
      <c r="D310" s="1" t="s">
        <v>2891</v>
      </c>
      <c r="E310" s="1" t="s">
        <v>2862</v>
      </c>
      <c r="F310" s="1" t="str">
        <f>"68134    "</f>
        <v xml:space="preserve">68134    </v>
      </c>
      <c r="G310" s="1" t="str">
        <f>"4023971111"</f>
        <v>4023971111</v>
      </c>
      <c r="H310" s="1" t="s">
        <v>2637</v>
      </c>
    </row>
    <row r="311" spans="1:8" x14ac:dyDescent="0.25">
      <c r="A311" s="1" t="str">
        <f>"476  "</f>
        <v xml:space="preserve">476  </v>
      </c>
      <c r="B311" s="1" t="s">
        <v>2532</v>
      </c>
      <c r="C311" s="1" t="s">
        <v>2533</v>
      </c>
      <c r="D311" s="1" t="s">
        <v>2534</v>
      </c>
      <c r="E311" s="1" t="s">
        <v>2786</v>
      </c>
      <c r="F311" s="1" t="str">
        <f>"60017    "</f>
        <v xml:space="preserve">60017    </v>
      </c>
      <c r="G311" s="1" t="str">
        <f>"8003235000"</f>
        <v>8003235000</v>
      </c>
      <c r="H311" s="1" t="s">
        <v>2637</v>
      </c>
    </row>
    <row r="312" spans="1:8" x14ac:dyDescent="0.25">
      <c r="A312" s="1" t="str">
        <f>"476DN"</f>
        <v>476DN</v>
      </c>
      <c r="B312" s="1" t="s">
        <v>2532</v>
      </c>
      <c r="C312" s="1" t="s">
        <v>2533</v>
      </c>
      <c r="D312" s="1" t="s">
        <v>2534</v>
      </c>
      <c r="E312" s="1" t="s">
        <v>2786</v>
      </c>
      <c r="F312" s="1" t="str">
        <f>"60017    "</f>
        <v xml:space="preserve">60017    </v>
      </c>
      <c r="G312" s="1" t="str">
        <f>"8003235000"</f>
        <v>8003235000</v>
      </c>
      <c r="H312" s="1" t="s">
        <v>2637</v>
      </c>
    </row>
    <row r="313" spans="1:8" x14ac:dyDescent="0.25">
      <c r="A313" s="1" t="s">
        <v>2256</v>
      </c>
      <c r="B313" s="1" t="s">
        <v>2257</v>
      </c>
      <c r="C313" s="1" t="str">
        <f>"2727 ALLEN PARKWAY                                "</f>
        <v xml:space="preserve">2727 ALLEN PARKWAY                                </v>
      </c>
      <c r="D313" s="1" t="s">
        <v>2635</v>
      </c>
      <c r="E313" s="1" t="s">
        <v>2636</v>
      </c>
      <c r="F313" s="1" t="str">
        <f>"770192115"</f>
        <v>770192115</v>
      </c>
      <c r="G313" s="1" t="str">
        <f>"7135290045"</f>
        <v>7135290045</v>
      </c>
      <c r="H313" s="1" t="s">
        <v>2637</v>
      </c>
    </row>
    <row r="314" spans="1:8" x14ac:dyDescent="0.25">
      <c r="A314" s="1" t="s">
        <v>2021</v>
      </c>
      <c r="B314" s="1" t="s">
        <v>2022</v>
      </c>
      <c r="C314" s="1" t="s">
        <v>2023</v>
      </c>
      <c r="D314" s="1" t="s">
        <v>2024</v>
      </c>
      <c r="E314" s="1" t="s">
        <v>2636</v>
      </c>
      <c r="F314" s="1" t="str">
        <f>"76099    "</f>
        <v xml:space="preserve">76099    </v>
      </c>
      <c r="G314" s="1" t="str">
        <f>"8884441995"</f>
        <v>8884441995</v>
      </c>
      <c r="H314" s="1" t="s">
        <v>2025</v>
      </c>
    </row>
    <row r="315" spans="1:8" x14ac:dyDescent="0.25">
      <c r="A315" s="1" t="str">
        <f>"813  "</f>
        <v xml:space="preserve">813  </v>
      </c>
      <c r="B315" s="1" t="s">
        <v>41</v>
      </c>
      <c r="C315" s="1" t="str">
        <f>"9201 WATSON RD, SUITE 350                         "</f>
        <v xml:space="preserve">9201 WATSON RD, SUITE 350                         </v>
      </c>
      <c r="D315" s="1" t="s">
        <v>2314</v>
      </c>
      <c r="E315" s="1" t="s">
        <v>2670</v>
      </c>
      <c r="F315" s="1" t="str">
        <f>"631261509"</f>
        <v>631261509</v>
      </c>
      <c r="G315" s="1" t="str">
        <f>"8007762453"</f>
        <v>8007762453</v>
      </c>
      <c r="H315" s="1" t="s">
        <v>2637</v>
      </c>
    </row>
    <row r="316" spans="1:8" x14ac:dyDescent="0.25">
      <c r="A316" s="1" t="str">
        <f>"604  "</f>
        <v xml:space="preserve">604  </v>
      </c>
      <c r="B316" s="1" t="s">
        <v>6</v>
      </c>
      <c r="C316" s="1" t="s">
        <v>7</v>
      </c>
      <c r="D316" s="1" t="s">
        <v>2825</v>
      </c>
      <c r="E316" s="1" t="s">
        <v>2826</v>
      </c>
      <c r="F316" s="1" t="str">
        <f>"80246    "</f>
        <v xml:space="preserve">80246    </v>
      </c>
      <c r="G316" s="1" t="str">
        <f>"3033317599"</f>
        <v>3033317599</v>
      </c>
      <c r="H316" s="1" t="s">
        <v>2637</v>
      </c>
    </row>
    <row r="317" spans="1:8" x14ac:dyDescent="0.25">
      <c r="A317" s="1" t="str">
        <f>"659  "</f>
        <v xml:space="preserve">659  </v>
      </c>
      <c r="B317" s="1" t="s">
        <v>131</v>
      </c>
      <c r="C317" s="1" t="str">
        <f>"-                                                 "</f>
        <v xml:space="preserve">-                                                 </v>
      </c>
      <c r="D317" s="1" t="str">
        <f>"-                                      "</f>
        <v xml:space="preserve">-                                      </v>
      </c>
      <c r="E317" s="1" t="str">
        <f>"- "</f>
        <v xml:space="preserve">- </v>
      </c>
      <c r="F317" s="1" t="str">
        <f>"-        "</f>
        <v xml:space="preserve">-        </v>
      </c>
      <c r="G317" s="1" t="s">
        <v>2637</v>
      </c>
      <c r="H317" s="1" t="s">
        <v>2637</v>
      </c>
    </row>
    <row r="318" spans="1:8" x14ac:dyDescent="0.25">
      <c r="A318" s="1" t="s">
        <v>111</v>
      </c>
      <c r="B318" s="1" t="s">
        <v>112</v>
      </c>
      <c r="C318" s="1" t="str">
        <f>"140 STONE RIDGE DR                                "</f>
        <v xml:space="preserve">140 STONE RIDGE DR                                </v>
      </c>
      <c r="D318" s="1" t="s">
        <v>2701</v>
      </c>
      <c r="E318" s="1" t="s">
        <v>2660</v>
      </c>
      <c r="F318" s="1" t="str">
        <f>"29210    "</f>
        <v xml:space="preserve">29210    </v>
      </c>
      <c r="G318" s="1" t="str">
        <f>"8668022474"</f>
        <v>8668022474</v>
      </c>
      <c r="H318" s="1" t="s">
        <v>2637</v>
      </c>
    </row>
    <row r="319" spans="1:8" x14ac:dyDescent="0.25">
      <c r="A319" s="1" t="s">
        <v>2</v>
      </c>
      <c r="B319" s="1" t="s">
        <v>3</v>
      </c>
      <c r="C319" s="1" t="str">
        <f>"140 STONE RIDGE DR                                "</f>
        <v xml:space="preserve">140 STONE RIDGE DR                                </v>
      </c>
      <c r="D319" s="1" t="s">
        <v>2701</v>
      </c>
      <c r="E319" s="1" t="s">
        <v>2660</v>
      </c>
      <c r="F319" s="1" t="str">
        <f>"29210    "</f>
        <v xml:space="preserve">29210    </v>
      </c>
      <c r="G319" s="1" t="str">
        <f>"8668022474"</f>
        <v>8668022474</v>
      </c>
      <c r="H319" s="1" t="s">
        <v>3195</v>
      </c>
    </row>
    <row r="320" spans="1:8" x14ac:dyDescent="0.25">
      <c r="A320" s="1" t="s">
        <v>3185</v>
      </c>
      <c r="B320" s="1" t="s">
        <v>3186</v>
      </c>
      <c r="C320" s="1" t="s">
        <v>3187</v>
      </c>
      <c r="D320" s="1" t="s">
        <v>3188</v>
      </c>
      <c r="E320" s="1" t="s">
        <v>2832</v>
      </c>
      <c r="F320" s="1" t="str">
        <f>"325912457"</f>
        <v>325912457</v>
      </c>
      <c r="G320" s="1" t="str">
        <f>"8888031780"</f>
        <v>8888031780</v>
      </c>
      <c r="H320" s="1" t="s">
        <v>2760</v>
      </c>
    </row>
    <row r="321" spans="1:8" x14ac:dyDescent="0.25">
      <c r="A321" s="1" t="str">
        <f>"660  "</f>
        <v xml:space="preserve">660  </v>
      </c>
      <c r="B321" s="1" t="s">
        <v>1946</v>
      </c>
      <c r="C321" s="1" t="str">
        <f>"-                                                 "</f>
        <v xml:space="preserve">-                                                 </v>
      </c>
      <c r="D321" s="1" t="str">
        <f>"-                                      "</f>
        <v xml:space="preserve">-                                      </v>
      </c>
      <c r="E321" s="1" t="str">
        <f>"- "</f>
        <v xml:space="preserve">- </v>
      </c>
      <c r="F321" s="1" t="str">
        <f>"-        "</f>
        <v xml:space="preserve">-        </v>
      </c>
      <c r="G321" s="1" t="s">
        <v>2637</v>
      </c>
      <c r="H321" s="1" t="s">
        <v>2637</v>
      </c>
    </row>
    <row r="322" spans="1:8" x14ac:dyDescent="0.25">
      <c r="A322" s="1" t="s">
        <v>431</v>
      </c>
      <c r="B322" s="1" t="s">
        <v>432</v>
      </c>
      <c r="C322" s="1" t="s">
        <v>433</v>
      </c>
      <c r="D322" s="1" t="s">
        <v>2061</v>
      </c>
      <c r="E322" s="1" t="s">
        <v>2636</v>
      </c>
      <c r="F322" s="1" t="str">
        <f>"750853925"</f>
        <v>750853925</v>
      </c>
      <c r="G322" s="1" t="str">
        <f>"8002010450"</f>
        <v>8002010450</v>
      </c>
      <c r="H322" s="1" t="s">
        <v>2637</v>
      </c>
    </row>
    <row r="323" spans="1:8" x14ac:dyDescent="0.25">
      <c r="A323" s="1" t="s">
        <v>1102</v>
      </c>
      <c r="B323" s="1" t="s">
        <v>1103</v>
      </c>
      <c r="C323" s="1" t="s">
        <v>1104</v>
      </c>
      <c r="D323" s="1" t="s">
        <v>2871</v>
      </c>
      <c r="E323" s="1" t="s">
        <v>2636</v>
      </c>
      <c r="F323" s="1" t="str">
        <f>"753809025"</f>
        <v>753809025</v>
      </c>
      <c r="G323" s="1" t="str">
        <f>"8887563534"</f>
        <v>8887563534</v>
      </c>
      <c r="H323" s="1" t="s">
        <v>2637</v>
      </c>
    </row>
    <row r="324" spans="1:8" x14ac:dyDescent="0.25">
      <c r="A324" s="1" t="str">
        <f>"661  "</f>
        <v xml:space="preserve">661  </v>
      </c>
      <c r="B324" s="1" t="s">
        <v>1357</v>
      </c>
      <c r="C324" s="1" t="str">
        <f>"-                                                 "</f>
        <v xml:space="preserve">-                                                 </v>
      </c>
      <c r="D324" s="1" t="str">
        <f>"-                                      "</f>
        <v xml:space="preserve">-                                      </v>
      </c>
      <c r="E324" s="1" t="str">
        <f>"- "</f>
        <v xml:space="preserve">- </v>
      </c>
      <c r="F324" s="1" t="str">
        <f>"-        "</f>
        <v xml:space="preserve">-        </v>
      </c>
      <c r="G324" s="1" t="s">
        <v>2637</v>
      </c>
      <c r="H324" s="1" t="s">
        <v>2637</v>
      </c>
    </row>
    <row r="325" spans="1:8" x14ac:dyDescent="0.25">
      <c r="A325" s="1" t="str">
        <f>"662  "</f>
        <v xml:space="preserve">662  </v>
      </c>
      <c r="B325" s="1" t="s">
        <v>163</v>
      </c>
      <c r="C325" s="1" t="str">
        <f>"-                                                 "</f>
        <v xml:space="preserve">-                                                 </v>
      </c>
      <c r="D325" s="1" t="str">
        <f>"-                                      "</f>
        <v xml:space="preserve">-                                      </v>
      </c>
      <c r="E325" s="1" t="str">
        <f>"- "</f>
        <v xml:space="preserve">- </v>
      </c>
      <c r="F325" s="1" t="str">
        <f>"-        "</f>
        <v xml:space="preserve">-        </v>
      </c>
      <c r="G325" s="1" t="s">
        <v>2637</v>
      </c>
      <c r="H325" s="1" t="s">
        <v>2637</v>
      </c>
    </row>
    <row r="326" spans="1:8" x14ac:dyDescent="0.25">
      <c r="A326" s="1" t="str">
        <f>"992  "</f>
        <v xml:space="preserve">992  </v>
      </c>
      <c r="B326" s="1" t="s">
        <v>1115</v>
      </c>
      <c r="C326" s="1" t="s">
        <v>1116</v>
      </c>
      <c r="D326" s="1" t="s">
        <v>2721</v>
      </c>
      <c r="E326" s="1" t="s">
        <v>2714</v>
      </c>
      <c r="F326" s="1" t="str">
        <f>"44309    "</f>
        <v xml:space="preserve">44309    </v>
      </c>
      <c r="G326" s="1" t="str">
        <f>"8003210935"</f>
        <v>8003210935</v>
      </c>
      <c r="H326" s="1" t="s">
        <v>2637</v>
      </c>
    </row>
    <row r="327" spans="1:8" x14ac:dyDescent="0.25">
      <c r="A327" s="1" t="str">
        <f>"541  "</f>
        <v xml:space="preserve">541  </v>
      </c>
      <c r="B327" s="1" t="s">
        <v>2796</v>
      </c>
      <c r="C327" s="1" t="s">
        <v>2797</v>
      </c>
      <c r="D327" s="1" t="s">
        <v>2798</v>
      </c>
      <c r="E327" s="1" t="s">
        <v>2660</v>
      </c>
      <c r="F327" s="1" t="str">
        <f>"293054217"</f>
        <v>293054217</v>
      </c>
      <c r="G327" s="1" t="str">
        <f>"8645962227"</f>
        <v>8645962227</v>
      </c>
      <c r="H327" s="1" t="s">
        <v>2688</v>
      </c>
    </row>
    <row r="328" spans="1:8" x14ac:dyDescent="0.25">
      <c r="A328" s="1" t="str">
        <f>"535  "</f>
        <v xml:space="preserve">535  </v>
      </c>
      <c r="B328" s="1" t="s">
        <v>483</v>
      </c>
      <c r="C328" s="1" t="s">
        <v>484</v>
      </c>
      <c r="D328" s="1" t="s">
        <v>2713</v>
      </c>
      <c r="E328" s="1" t="s">
        <v>2714</v>
      </c>
      <c r="F328" s="1" t="str">
        <f>"441014648"</f>
        <v>441014648</v>
      </c>
      <c r="G328" s="1" t="str">
        <f>"8007731445"</f>
        <v>8007731445</v>
      </c>
      <c r="H328" s="1" t="s">
        <v>2637</v>
      </c>
    </row>
    <row r="329" spans="1:8" x14ac:dyDescent="0.25">
      <c r="A329" s="1" t="s">
        <v>626</v>
      </c>
      <c r="B329" s="1" t="s">
        <v>627</v>
      </c>
      <c r="C329" s="1" t="str">
        <f>"1205 WINDHAM PARKWAY                              "</f>
        <v xml:space="preserve">1205 WINDHAM PARKWAY                              </v>
      </c>
      <c r="D329" s="1" t="s">
        <v>628</v>
      </c>
      <c r="E329" s="1" t="s">
        <v>2786</v>
      </c>
      <c r="F329" s="1" t="str">
        <f>"60446    "</f>
        <v xml:space="preserve">60446    </v>
      </c>
      <c r="G329" s="1" t="str">
        <f>"8008070400"</f>
        <v>8008070400</v>
      </c>
      <c r="H329" s="1" t="s">
        <v>2637</v>
      </c>
    </row>
    <row r="330" spans="1:8" x14ac:dyDescent="0.25">
      <c r="A330" s="1" t="str">
        <f>"511  "</f>
        <v xml:space="preserve">511  </v>
      </c>
      <c r="B330" s="1" t="s">
        <v>1076</v>
      </c>
      <c r="C330" s="1" t="s">
        <v>1077</v>
      </c>
      <c r="D330" s="1" t="s">
        <v>1078</v>
      </c>
      <c r="E330" s="1" t="s">
        <v>2902</v>
      </c>
      <c r="F330" s="1" t="str">
        <f>"55344    "</f>
        <v xml:space="preserve">55344    </v>
      </c>
      <c r="G330" s="1" t="str">
        <f>"8003364091"</f>
        <v>8003364091</v>
      </c>
      <c r="H330" s="1" t="s">
        <v>2637</v>
      </c>
    </row>
    <row r="331" spans="1:8" x14ac:dyDescent="0.25">
      <c r="A331" s="1" t="str">
        <f>"134  "</f>
        <v xml:space="preserve">134  </v>
      </c>
      <c r="B331" s="1" t="s">
        <v>2374</v>
      </c>
      <c r="C331" s="1" t="s">
        <v>1967</v>
      </c>
      <c r="D331" s="1" t="s">
        <v>3045</v>
      </c>
      <c r="E331" s="1" t="s">
        <v>2970</v>
      </c>
      <c r="F331" s="1" t="str">
        <f>"374227223"</f>
        <v>374227223</v>
      </c>
      <c r="G331" s="1" t="str">
        <f>"8008824462"</f>
        <v>8008824462</v>
      </c>
      <c r="H331" s="1" t="s">
        <v>2376</v>
      </c>
    </row>
    <row r="332" spans="1:8" x14ac:dyDescent="0.25">
      <c r="A332" s="1" t="str">
        <f>"134DN"</f>
        <v>134DN</v>
      </c>
      <c r="B332" s="1" t="s">
        <v>2374</v>
      </c>
      <c r="C332" s="1" t="s">
        <v>1850</v>
      </c>
      <c r="D332" s="1" t="s">
        <v>3045</v>
      </c>
      <c r="E332" s="1" t="s">
        <v>2970</v>
      </c>
      <c r="F332" s="1" t="str">
        <f>"37422    "</f>
        <v xml:space="preserve">37422    </v>
      </c>
      <c r="G332" s="1" t="str">
        <f>"8002446224"</f>
        <v>8002446224</v>
      </c>
      <c r="H332" s="1" t="s">
        <v>2376</v>
      </c>
    </row>
    <row r="333" spans="1:8" x14ac:dyDescent="0.25">
      <c r="A333" s="1" t="str">
        <f>"134RX"</f>
        <v>134RX</v>
      </c>
      <c r="B333" s="1" t="s">
        <v>2374</v>
      </c>
      <c r="C333" s="1" t="s">
        <v>2375</v>
      </c>
      <c r="D333" s="1" t="s">
        <v>2808</v>
      </c>
      <c r="E333" s="1" t="s">
        <v>2809</v>
      </c>
      <c r="F333" s="1" t="str">
        <f>"850802005"</f>
        <v>850802005</v>
      </c>
      <c r="G333" s="1" t="str">
        <f>"8002510670"</f>
        <v>8002510670</v>
      </c>
      <c r="H333" s="1" t="s">
        <v>2376</v>
      </c>
    </row>
    <row r="334" spans="1:8" x14ac:dyDescent="0.25">
      <c r="A334" s="1" t="str">
        <f>"136  "</f>
        <v xml:space="preserve">136  </v>
      </c>
      <c r="B334" s="1" t="s">
        <v>1864</v>
      </c>
      <c r="C334" s="1" t="s">
        <v>1865</v>
      </c>
      <c r="D334" s="1" t="s">
        <v>2906</v>
      </c>
      <c r="E334" s="1" t="s">
        <v>2677</v>
      </c>
      <c r="F334" s="1" t="str">
        <f>"282303211"</f>
        <v>282303211</v>
      </c>
      <c r="G334" s="1" t="s">
        <v>2637</v>
      </c>
      <c r="H334" s="1" t="s">
        <v>2688</v>
      </c>
    </row>
    <row r="335" spans="1:8" x14ac:dyDescent="0.25">
      <c r="A335" s="1" t="str">
        <f>"999  "</f>
        <v xml:space="preserve">999  </v>
      </c>
      <c r="B335" s="1" t="s">
        <v>554</v>
      </c>
      <c r="C335" s="1" t="s">
        <v>555</v>
      </c>
      <c r="D335" s="1" t="s">
        <v>3013</v>
      </c>
      <c r="E335" s="1" t="s">
        <v>2660</v>
      </c>
      <c r="F335" s="1" t="str">
        <f>"294199024"</f>
        <v>294199024</v>
      </c>
      <c r="G335" s="1" t="str">
        <f>"8007203150"</f>
        <v>8007203150</v>
      </c>
      <c r="H335" s="1" t="s">
        <v>556</v>
      </c>
    </row>
    <row r="336" spans="1:8" x14ac:dyDescent="0.25">
      <c r="A336" s="1" t="str">
        <f>"452  "</f>
        <v xml:space="preserve">452  </v>
      </c>
      <c r="B336" s="1" t="s">
        <v>2197</v>
      </c>
      <c r="C336" s="1" t="s">
        <v>2198</v>
      </c>
      <c r="D336" s="1" t="s">
        <v>2199</v>
      </c>
      <c r="E336" s="1" t="s">
        <v>2200</v>
      </c>
      <c r="F336" s="1" t="str">
        <f>"19850    "</f>
        <v xml:space="preserve">19850    </v>
      </c>
      <c r="G336" s="1" t="str">
        <f>"8004412668"</f>
        <v>8004412668</v>
      </c>
      <c r="H336" s="1" t="s">
        <v>2637</v>
      </c>
    </row>
    <row r="337" spans="1:8" x14ac:dyDescent="0.25">
      <c r="A337" s="1" t="s">
        <v>148</v>
      </c>
      <c r="B337" s="1" t="s">
        <v>149</v>
      </c>
      <c r="C337" s="1" t="s">
        <v>150</v>
      </c>
      <c r="D337" s="1" t="s">
        <v>2118</v>
      </c>
      <c r="E337" s="1" t="s">
        <v>2809</v>
      </c>
      <c r="F337" s="1" t="str">
        <f>"852852174"</f>
        <v>852852174</v>
      </c>
      <c r="G337" s="1" t="str">
        <f>"8005779410"</f>
        <v>8005779410</v>
      </c>
      <c r="H337" s="1" t="s">
        <v>2795</v>
      </c>
    </row>
    <row r="338" spans="1:8" x14ac:dyDescent="0.25">
      <c r="A338" s="1" t="str">
        <f>"718  "</f>
        <v xml:space="preserve">718  </v>
      </c>
      <c r="B338" s="1" t="s">
        <v>2565</v>
      </c>
      <c r="C338" s="1" t="s">
        <v>2566</v>
      </c>
      <c r="D338" s="1" t="s">
        <v>3045</v>
      </c>
      <c r="E338" s="1" t="s">
        <v>2970</v>
      </c>
      <c r="F338" s="1" t="str">
        <f>"374228053"</f>
        <v>374228053</v>
      </c>
      <c r="G338" s="1" t="str">
        <f>"8006225579"</f>
        <v>8006225579</v>
      </c>
      <c r="H338" s="1" t="s">
        <v>2637</v>
      </c>
    </row>
    <row r="339" spans="1:8" x14ac:dyDescent="0.25">
      <c r="A339" s="1" t="str">
        <f>"646  "</f>
        <v xml:space="preserve">646  </v>
      </c>
      <c r="B339" s="1" t="s">
        <v>3213</v>
      </c>
      <c r="C339" s="1" t="s">
        <v>3214</v>
      </c>
      <c r="D339" s="1" t="s">
        <v>3157</v>
      </c>
      <c r="E339" s="1" t="s">
        <v>2970</v>
      </c>
      <c r="F339" s="1" t="str">
        <f>"37202    "</f>
        <v xml:space="preserve">37202    </v>
      </c>
      <c r="G339" s="1" t="str">
        <f>"6152445600"</f>
        <v>6152445600</v>
      </c>
      <c r="H339" s="1" t="s">
        <v>3215</v>
      </c>
    </row>
    <row r="340" spans="1:8" x14ac:dyDescent="0.25">
      <c r="A340" s="1" t="str">
        <f>"407  "</f>
        <v xml:space="preserve">407  </v>
      </c>
      <c r="B340" s="1" t="s">
        <v>3009</v>
      </c>
      <c r="C340" s="1" t="str">
        <f>"1844 N. NOB HILL RD. #623                         "</f>
        <v xml:space="preserve">1844 N. NOB HILL RD. #623                         </v>
      </c>
      <c r="D340" s="1" t="s">
        <v>3010</v>
      </c>
      <c r="E340" s="1" t="s">
        <v>2832</v>
      </c>
      <c r="F340" s="1" t="str">
        <f>"33322    "</f>
        <v xml:space="preserve">33322    </v>
      </c>
      <c r="G340" s="1" t="str">
        <f>"8008471148"</f>
        <v>8008471148</v>
      </c>
      <c r="H340" s="1" t="s">
        <v>2637</v>
      </c>
    </row>
    <row r="341" spans="1:8" x14ac:dyDescent="0.25">
      <c r="A341" s="1" t="str">
        <f>"177  "</f>
        <v xml:space="preserve">177  </v>
      </c>
      <c r="B341" s="1" t="s">
        <v>29</v>
      </c>
      <c r="C341" s="1" t="str">
        <f>"144 N BEVERWYCK RD #332                           "</f>
        <v xml:space="preserve">144 N BEVERWYCK RD #332                           </v>
      </c>
      <c r="D341" s="1" t="s">
        <v>30</v>
      </c>
      <c r="E341" s="1" t="s">
        <v>2821</v>
      </c>
      <c r="F341" s="1" t="str">
        <f>"080341997"</f>
        <v>080341997</v>
      </c>
      <c r="G341" s="1" t="str">
        <f>"8008471148"</f>
        <v>8008471148</v>
      </c>
      <c r="H341" s="1" t="s">
        <v>2735</v>
      </c>
    </row>
    <row r="342" spans="1:8" x14ac:dyDescent="0.25">
      <c r="A342" s="1" t="s">
        <v>70</v>
      </c>
      <c r="B342" s="1" t="s">
        <v>71</v>
      </c>
      <c r="C342" s="1" t="s">
        <v>72</v>
      </c>
      <c r="D342" s="1" t="s">
        <v>2659</v>
      </c>
      <c r="E342" s="1" t="s">
        <v>2660</v>
      </c>
      <c r="F342" s="1" t="str">
        <f>"29622    "</f>
        <v xml:space="preserve">29622    </v>
      </c>
      <c r="G342" s="1" t="str">
        <f>"8643340090"</f>
        <v>8643340090</v>
      </c>
      <c r="H342" s="1" t="s">
        <v>2648</v>
      </c>
    </row>
    <row r="343" spans="1:8" x14ac:dyDescent="0.25">
      <c r="A343" s="1" t="str">
        <f>"839  "</f>
        <v xml:space="preserve">839  </v>
      </c>
      <c r="B343" s="1" t="s">
        <v>2741</v>
      </c>
      <c r="C343" s="1" t="s">
        <v>2742</v>
      </c>
      <c r="D343" s="1" t="s">
        <v>2743</v>
      </c>
      <c r="E343" s="1" t="s">
        <v>2744</v>
      </c>
      <c r="F343" s="1" t="str">
        <f>"402536149"</f>
        <v>402536149</v>
      </c>
      <c r="G343" s="1" t="str">
        <f>"5022442420"</f>
        <v>5022442420</v>
      </c>
      <c r="H343" s="1" t="s">
        <v>2637</v>
      </c>
    </row>
    <row r="344" spans="1:8" x14ac:dyDescent="0.25">
      <c r="A344" s="1" t="s">
        <v>2978</v>
      </c>
      <c r="B344" s="1" t="s">
        <v>2979</v>
      </c>
      <c r="C344" s="1" t="s">
        <v>2980</v>
      </c>
      <c r="D344" s="1" t="s">
        <v>2981</v>
      </c>
      <c r="E344" s="1" t="s">
        <v>2832</v>
      </c>
      <c r="F344" s="1" t="str">
        <f>"33622    "</f>
        <v xml:space="preserve">33622    </v>
      </c>
      <c r="G344" s="1" t="str">
        <f>"8667691157"</f>
        <v>8667691157</v>
      </c>
      <c r="H344" s="1" t="s">
        <v>2795</v>
      </c>
    </row>
    <row r="345" spans="1:8" x14ac:dyDescent="0.25">
      <c r="A345" s="1" t="str">
        <f>"574  "</f>
        <v xml:space="preserve">574  </v>
      </c>
      <c r="B345" s="1" t="s">
        <v>1622</v>
      </c>
      <c r="C345" s="1" t="s">
        <v>1623</v>
      </c>
      <c r="D345" s="1" t="s">
        <v>1624</v>
      </c>
      <c r="E345" s="1" t="s">
        <v>2636</v>
      </c>
      <c r="F345" s="1" t="str">
        <f>"79105    "</f>
        <v xml:space="preserve">79105    </v>
      </c>
      <c r="G345" s="1" t="str">
        <f>"8063784235"</f>
        <v>8063784235</v>
      </c>
      <c r="H345" s="1" t="s">
        <v>2735</v>
      </c>
    </row>
    <row r="346" spans="1:8" x14ac:dyDescent="0.25">
      <c r="A346" s="1" t="str">
        <f>"114  "</f>
        <v xml:space="preserve">114  </v>
      </c>
      <c r="B346" s="1" t="s">
        <v>734</v>
      </c>
      <c r="C346" s="1" t="s">
        <v>735</v>
      </c>
      <c r="D346" s="1" t="s">
        <v>2685</v>
      </c>
      <c r="E346" s="1" t="s">
        <v>2670</v>
      </c>
      <c r="F346" s="1" t="str">
        <f>"64114    "</f>
        <v xml:space="preserve">64114    </v>
      </c>
      <c r="G346" s="1" t="str">
        <f>"8009224262"</f>
        <v>8009224262</v>
      </c>
      <c r="H346" s="1" t="s">
        <v>2688</v>
      </c>
    </row>
    <row r="347" spans="1:8" x14ac:dyDescent="0.25">
      <c r="A347" s="1" t="s">
        <v>1242</v>
      </c>
      <c r="B347" s="1" t="s">
        <v>1243</v>
      </c>
      <c r="C347" s="1" t="s">
        <v>1244</v>
      </c>
      <c r="D347" s="1" t="s">
        <v>1245</v>
      </c>
      <c r="E347" s="1" t="s">
        <v>2667</v>
      </c>
      <c r="F347" s="1" t="str">
        <f>"54307    "</f>
        <v xml:space="preserve">54307    </v>
      </c>
      <c r="G347" s="1" t="str">
        <f>"8004727130"</f>
        <v>8004727130</v>
      </c>
      <c r="H347" s="1" t="s">
        <v>2637</v>
      </c>
    </row>
    <row r="348" spans="1:8" x14ac:dyDescent="0.25">
      <c r="A348" s="1" t="str">
        <f>"219  "</f>
        <v xml:space="preserve">219  </v>
      </c>
      <c r="B348" s="1" t="s">
        <v>47</v>
      </c>
      <c r="C348" s="1" t="s">
        <v>48</v>
      </c>
      <c r="D348" s="1" t="s">
        <v>1959</v>
      </c>
      <c r="E348" s="1" t="s">
        <v>2644</v>
      </c>
      <c r="F348" s="1" t="str">
        <f>"48075    "</f>
        <v xml:space="preserve">48075    </v>
      </c>
      <c r="G348" s="1" t="str">
        <f>"8008379600"</f>
        <v>8008379600</v>
      </c>
      <c r="H348" s="1" t="s">
        <v>49</v>
      </c>
    </row>
    <row r="349" spans="1:8" x14ac:dyDescent="0.25">
      <c r="A349" s="1" t="s">
        <v>2440</v>
      </c>
      <c r="B349" s="1" t="s">
        <v>2441</v>
      </c>
      <c r="C349" s="1" t="str">
        <f>"100 COURT AVE. SUITE 306                          "</f>
        <v xml:space="preserve">100 COURT AVE. SUITE 306                          </v>
      </c>
      <c r="D349" s="1" t="s">
        <v>2442</v>
      </c>
      <c r="E349" s="1" t="s">
        <v>3264</v>
      </c>
      <c r="F349" s="1" t="str">
        <f>"50309    "</f>
        <v xml:space="preserve">50309    </v>
      </c>
      <c r="G349" s="1" t="str">
        <f>"8002458813"</f>
        <v>8002458813</v>
      </c>
      <c r="H349" s="1" t="s">
        <v>2637</v>
      </c>
    </row>
    <row r="350" spans="1:8" x14ac:dyDescent="0.25">
      <c r="A350" s="1" t="str">
        <f>"536  "</f>
        <v xml:space="preserve">536  </v>
      </c>
      <c r="B350" s="1" t="s">
        <v>1906</v>
      </c>
      <c r="C350" s="1" t="s">
        <v>1907</v>
      </c>
      <c r="D350" s="1" t="s">
        <v>2710</v>
      </c>
      <c r="E350" s="1" t="s">
        <v>2660</v>
      </c>
      <c r="F350" s="1" t="str">
        <f>"29606    "</f>
        <v xml:space="preserve">29606    </v>
      </c>
      <c r="G350" s="1" t="str">
        <f>"8642348200"</f>
        <v>8642348200</v>
      </c>
      <c r="H350" s="1" t="s">
        <v>2637</v>
      </c>
    </row>
    <row r="351" spans="1:8" x14ac:dyDescent="0.25">
      <c r="A351" s="1" t="str">
        <f>"536DN"</f>
        <v>536DN</v>
      </c>
      <c r="B351" s="1" t="s">
        <v>1906</v>
      </c>
      <c r="C351" s="1" t="s">
        <v>1907</v>
      </c>
      <c r="D351" s="1" t="s">
        <v>2710</v>
      </c>
      <c r="E351" s="1" t="s">
        <v>2660</v>
      </c>
      <c r="F351" s="1" t="str">
        <f>"29606    "</f>
        <v xml:space="preserve">29606    </v>
      </c>
      <c r="G351" s="1" t="str">
        <f>"8642348200"</f>
        <v>8642348200</v>
      </c>
      <c r="H351" s="1" t="s">
        <v>2637</v>
      </c>
    </row>
    <row r="352" spans="1:8" x14ac:dyDescent="0.25">
      <c r="A352" s="1" t="str">
        <f>"663  "</f>
        <v xml:space="preserve">663  </v>
      </c>
      <c r="B352" s="1" t="s">
        <v>2718</v>
      </c>
      <c r="C352" s="1" t="str">
        <f>"-                                                 "</f>
        <v xml:space="preserve">-                                                 </v>
      </c>
      <c r="D352" s="1" t="str">
        <f>"-                                      "</f>
        <v xml:space="preserve">-                                      </v>
      </c>
      <c r="E352" s="1" t="str">
        <f>"- "</f>
        <v xml:space="preserve">- </v>
      </c>
      <c r="F352" s="1" t="str">
        <f>"-        "</f>
        <v xml:space="preserve">-        </v>
      </c>
      <c r="G352" s="1" t="s">
        <v>2637</v>
      </c>
      <c r="H352" s="1" t="s">
        <v>2637</v>
      </c>
    </row>
    <row r="353" spans="1:8" x14ac:dyDescent="0.25">
      <c r="A353" s="1" t="str">
        <f>"259  "</f>
        <v xml:space="preserve">259  </v>
      </c>
      <c r="B353" s="1" t="s">
        <v>611</v>
      </c>
      <c r="C353" s="1" t="s">
        <v>612</v>
      </c>
      <c r="D353" s="1" t="s">
        <v>2943</v>
      </c>
      <c r="E353" s="1" t="s">
        <v>3170</v>
      </c>
      <c r="F353" s="1" t="str">
        <f>"72203    "</f>
        <v xml:space="preserve">72203    </v>
      </c>
      <c r="G353" s="1" t="str">
        <f>"8005083772"</f>
        <v>8005083772</v>
      </c>
      <c r="H353" s="1" t="s">
        <v>2637</v>
      </c>
    </row>
    <row r="354" spans="1:8" x14ac:dyDescent="0.25">
      <c r="A354" s="1" t="str">
        <f>"887  "</f>
        <v xml:space="preserve">887  </v>
      </c>
      <c r="B354" s="1" t="s">
        <v>1857</v>
      </c>
      <c r="C354" s="1" t="s">
        <v>2595</v>
      </c>
      <c r="D354" s="1" t="s">
        <v>2596</v>
      </c>
      <c r="E354" s="1" t="s">
        <v>2826</v>
      </c>
      <c r="F354" s="1" t="str">
        <f>"80155    "</f>
        <v xml:space="preserve">80155    </v>
      </c>
      <c r="G354" s="1" t="str">
        <f>"8004267453"</f>
        <v>8004267453</v>
      </c>
      <c r="H354" s="1" t="s">
        <v>2637</v>
      </c>
    </row>
    <row r="355" spans="1:8" x14ac:dyDescent="0.25">
      <c r="A355" s="1" t="s">
        <v>1109</v>
      </c>
      <c r="B355" s="1" t="s">
        <v>1110</v>
      </c>
      <c r="C355" s="1" t="s">
        <v>2888</v>
      </c>
      <c r="D355" s="1" t="s">
        <v>2791</v>
      </c>
      <c r="E355" s="1" t="s">
        <v>2744</v>
      </c>
      <c r="F355" s="1" t="str">
        <f>"407428300"</f>
        <v>407428300</v>
      </c>
      <c r="G355" s="1" t="str">
        <f>"8663358319"</f>
        <v>8663358319</v>
      </c>
      <c r="H355" s="1" t="s">
        <v>2760</v>
      </c>
    </row>
    <row r="356" spans="1:8" x14ac:dyDescent="0.25">
      <c r="A356" s="1" t="s">
        <v>1351</v>
      </c>
      <c r="B356" s="1" t="s">
        <v>1352</v>
      </c>
      <c r="C356" s="1" t="s">
        <v>1353</v>
      </c>
      <c r="D356" s="1" t="s">
        <v>1354</v>
      </c>
      <c r="E356" s="1" t="s">
        <v>2660</v>
      </c>
      <c r="F356" s="1" t="str">
        <f>"29488    "</f>
        <v xml:space="preserve">29488    </v>
      </c>
      <c r="G356" s="1" t="str">
        <f>"8435382876"</f>
        <v>8435382876</v>
      </c>
      <c r="H356" s="1" t="s">
        <v>2735</v>
      </c>
    </row>
    <row r="357" spans="1:8" x14ac:dyDescent="0.25">
      <c r="A357" s="1" t="str">
        <f>"664  "</f>
        <v xml:space="preserve">664  </v>
      </c>
      <c r="B357" s="1" t="s">
        <v>2865</v>
      </c>
      <c r="C357" s="1" t="str">
        <f>"-                                                 "</f>
        <v xml:space="preserve">-                                                 </v>
      </c>
      <c r="D357" s="1" t="str">
        <f>"-                                      "</f>
        <v xml:space="preserve">-                                      </v>
      </c>
      <c r="E357" s="1" t="str">
        <f>"- "</f>
        <v xml:space="preserve">- </v>
      </c>
      <c r="F357" s="1" t="str">
        <f>"-        "</f>
        <v xml:space="preserve">-        </v>
      </c>
      <c r="G357" s="1" t="s">
        <v>2637</v>
      </c>
      <c r="H357" s="1" t="s">
        <v>2637</v>
      </c>
    </row>
    <row r="358" spans="1:8" x14ac:dyDescent="0.25">
      <c r="A358" s="1" t="str">
        <f>"132  "</f>
        <v xml:space="preserve">132  </v>
      </c>
      <c r="B358" s="1" t="s">
        <v>911</v>
      </c>
      <c r="C358" s="1" t="s">
        <v>912</v>
      </c>
      <c r="D358" s="1" t="s">
        <v>2701</v>
      </c>
      <c r="E358" s="1" t="s">
        <v>2660</v>
      </c>
      <c r="F358" s="1" t="str">
        <f>"29202    "</f>
        <v xml:space="preserve">29202    </v>
      </c>
      <c r="G358" s="1" t="str">
        <f>"8037987000"</f>
        <v>8037987000</v>
      </c>
      <c r="H358" s="1" t="s">
        <v>2637</v>
      </c>
    </row>
    <row r="359" spans="1:8" x14ac:dyDescent="0.25">
      <c r="A359" s="1" t="s">
        <v>2777</v>
      </c>
      <c r="B359" s="1" t="s">
        <v>2778</v>
      </c>
      <c r="C359" s="1" t="str">
        <f>"1818 MARKET STREET                                "</f>
        <v xml:space="preserve">1818 MARKET STREET                                </v>
      </c>
      <c r="D359" s="1" t="s">
        <v>2752</v>
      </c>
      <c r="E359" s="1" t="s">
        <v>2697</v>
      </c>
      <c r="F359" s="1" t="str">
        <f>"191811250"</f>
        <v>191811250</v>
      </c>
      <c r="G359" s="1" t="str">
        <f>"8005234000"</f>
        <v>8005234000</v>
      </c>
      <c r="H359" s="1" t="s">
        <v>2779</v>
      </c>
    </row>
    <row r="360" spans="1:8" x14ac:dyDescent="0.25">
      <c r="A360" s="1" t="str">
        <f>"175  "</f>
        <v xml:space="preserve">175  </v>
      </c>
      <c r="B360" s="1" t="s">
        <v>473</v>
      </c>
      <c r="C360" s="1" t="s">
        <v>474</v>
      </c>
      <c r="D360" s="1" t="s">
        <v>2805</v>
      </c>
      <c r="E360" s="1" t="s">
        <v>2636</v>
      </c>
      <c r="F360" s="1" t="str">
        <f>"787200225"</f>
        <v>787200225</v>
      </c>
      <c r="G360" s="1" t="str">
        <f>"5123453200"</f>
        <v>5123453200</v>
      </c>
      <c r="H360" s="1" t="s">
        <v>2637</v>
      </c>
    </row>
    <row r="361" spans="1:8" x14ac:dyDescent="0.25">
      <c r="A361" s="1" t="str">
        <f>"133  "</f>
        <v xml:space="preserve">133  </v>
      </c>
      <c r="B361" s="1" t="s">
        <v>997</v>
      </c>
      <c r="C361" s="1" t="str">
        <f>"5050 BROADWAY                                     "</f>
        <v xml:space="preserve">5050 BROADWAY                                     </v>
      </c>
      <c r="D361" s="1" t="s">
        <v>2154</v>
      </c>
      <c r="E361" s="1" t="s">
        <v>2786</v>
      </c>
      <c r="F361" s="1" t="str">
        <f>"60640    "</f>
        <v xml:space="preserve">60640    </v>
      </c>
      <c r="G361" s="1" t="str">
        <f>"8002254500"</f>
        <v>8002254500</v>
      </c>
      <c r="H361" s="1" t="s">
        <v>2637</v>
      </c>
    </row>
    <row r="362" spans="1:8" x14ac:dyDescent="0.25">
      <c r="A362" s="1" t="str">
        <f>"609  "</f>
        <v xml:space="preserve">609  </v>
      </c>
      <c r="B362" s="1" t="s">
        <v>2769</v>
      </c>
      <c r="C362" s="1" t="s">
        <v>2637</v>
      </c>
      <c r="D362" s="1" t="s">
        <v>2637</v>
      </c>
      <c r="E362" s="1" t="s">
        <v>2637</v>
      </c>
      <c r="F362" s="1" t="s">
        <v>2637</v>
      </c>
      <c r="G362" s="1" t="s">
        <v>2637</v>
      </c>
      <c r="H362" s="1" t="s">
        <v>2637</v>
      </c>
    </row>
    <row r="363" spans="1:8" x14ac:dyDescent="0.25">
      <c r="A363" s="1" t="str">
        <f>"974  "</f>
        <v xml:space="preserve">974  </v>
      </c>
      <c r="B363" s="1" t="s">
        <v>1096</v>
      </c>
      <c r="C363" s="1" t="s">
        <v>1097</v>
      </c>
      <c r="D363" s="1" t="s">
        <v>1098</v>
      </c>
      <c r="E363" s="1" t="s">
        <v>2714</v>
      </c>
      <c r="F363" s="1" t="str">
        <f>"44036    "</f>
        <v xml:space="preserve">44036    </v>
      </c>
      <c r="G363" s="1" t="str">
        <f>"8002239941"</f>
        <v>8002239941</v>
      </c>
      <c r="H363" s="1" t="s">
        <v>2637</v>
      </c>
    </row>
    <row r="364" spans="1:8" x14ac:dyDescent="0.25">
      <c r="A364" s="1" t="str">
        <f>"457  "</f>
        <v xml:space="preserve">457  </v>
      </c>
      <c r="B364" s="1" t="s">
        <v>736</v>
      </c>
      <c r="C364" s="1" t="str">
        <f>"70 GENESSE ST                                     "</f>
        <v xml:space="preserve">70 GENESSE ST                                     </v>
      </c>
      <c r="D364" s="1" t="s">
        <v>1440</v>
      </c>
      <c r="E364" s="1" t="s">
        <v>2773</v>
      </c>
      <c r="F364" s="1" t="str">
        <f>"13502    "</f>
        <v xml:space="preserve">13502    </v>
      </c>
      <c r="G364" s="1" t="str">
        <f>"8007563702"</f>
        <v>8007563702</v>
      </c>
      <c r="H364" s="1" t="s">
        <v>2688</v>
      </c>
    </row>
    <row r="365" spans="1:8" x14ac:dyDescent="0.25">
      <c r="A365" s="1" t="str">
        <f>"986  "</f>
        <v xml:space="preserve">986  </v>
      </c>
      <c r="B365" s="1" t="s">
        <v>3162</v>
      </c>
      <c r="C365" s="1" t="str">
        <f>"115 HANOVER STREET                                "</f>
        <v xml:space="preserve">115 HANOVER STREET                                </v>
      </c>
      <c r="D365" s="1" t="s">
        <v>3163</v>
      </c>
      <c r="E365" s="1" t="s">
        <v>3164</v>
      </c>
      <c r="F365" s="1" t="str">
        <f>"23005    "</f>
        <v xml:space="preserve">23005    </v>
      </c>
      <c r="G365" s="1" t="str">
        <f>"8005261677"</f>
        <v>8005261677</v>
      </c>
      <c r="H365" s="1" t="s">
        <v>2637</v>
      </c>
    </row>
    <row r="366" spans="1:8" x14ac:dyDescent="0.25">
      <c r="A366" s="1" t="s">
        <v>810</v>
      </c>
      <c r="B366" s="1" t="s">
        <v>811</v>
      </c>
      <c r="C366" s="1" t="s">
        <v>812</v>
      </c>
      <c r="D366" s="1" t="s">
        <v>813</v>
      </c>
      <c r="E366" s="1" t="s">
        <v>3118</v>
      </c>
      <c r="F366" s="1" t="str">
        <f>"01810    "</f>
        <v xml:space="preserve">01810    </v>
      </c>
      <c r="G366" s="1" t="str">
        <f>"8004429033"</f>
        <v>8004429033</v>
      </c>
      <c r="H366" s="1" t="s">
        <v>2760</v>
      </c>
    </row>
    <row r="367" spans="1:8" x14ac:dyDescent="0.25">
      <c r="A367" s="1" t="s">
        <v>3246</v>
      </c>
      <c r="B367" s="1" t="s">
        <v>3247</v>
      </c>
      <c r="C367" s="1" t="s">
        <v>3248</v>
      </c>
      <c r="D367" s="1" t="s">
        <v>3249</v>
      </c>
      <c r="E367" s="1" t="s">
        <v>2885</v>
      </c>
      <c r="F367" s="1" t="str">
        <f>"741013249"</f>
        <v>741013249</v>
      </c>
      <c r="G367" s="1" t="str">
        <f>"8006428065"</f>
        <v>8006428065</v>
      </c>
      <c r="H367" s="1" t="s">
        <v>2795</v>
      </c>
    </row>
    <row r="368" spans="1:8" x14ac:dyDescent="0.25">
      <c r="A368" s="1" t="str">
        <f>"911  "</f>
        <v xml:space="preserve">911  </v>
      </c>
      <c r="B368" s="1" t="s">
        <v>1411</v>
      </c>
      <c r="C368" s="1" t="s">
        <v>1412</v>
      </c>
      <c r="D368" s="1" t="s">
        <v>2616</v>
      </c>
      <c r="E368" s="1" t="s">
        <v>2660</v>
      </c>
      <c r="F368" s="1" t="str">
        <f>"29304    "</f>
        <v xml:space="preserve">29304    </v>
      </c>
      <c r="G368" s="1" t="str">
        <f>"8889628437"</f>
        <v>8889628437</v>
      </c>
      <c r="H368" s="1" t="s">
        <v>2760</v>
      </c>
    </row>
    <row r="369" spans="1:8" x14ac:dyDescent="0.25">
      <c r="A369" s="1" t="str">
        <f>"287  "</f>
        <v xml:space="preserve">287  </v>
      </c>
      <c r="B369" s="1" t="s">
        <v>2076</v>
      </c>
      <c r="C369" s="1" t="s">
        <v>2077</v>
      </c>
      <c r="D369" s="1" t="s">
        <v>3070</v>
      </c>
      <c r="E369" s="1" t="s">
        <v>2714</v>
      </c>
      <c r="F369" s="1" t="str">
        <f>"45250    "</f>
        <v xml:space="preserve">45250    </v>
      </c>
      <c r="G369" s="1" t="str">
        <f>"8888008717"</f>
        <v>8888008717</v>
      </c>
      <c r="H369" s="1" t="s">
        <v>2637</v>
      </c>
    </row>
    <row r="370" spans="1:8" x14ac:dyDescent="0.25">
      <c r="A370" s="1" t="s">
        <v>3068</v>
      </c>
      <c r="B370" s="1" t="s">
        <v>3069</v>
      </c>
      <c r="C370" s="1" t="str">
        <f>"1351 WILLIAM HOWARD TAFT ROAD                     "</f>
        <v xml:space="preserve">1351 WILLIAM HOWARD TAFT ROAD                     </v>
      </c>
      <c r="D370" s="1" t="s">
        <v>3070</v>
      </c>
      <c r="E370" s="1" t="s">
        <v>2714</v>
      </c>
      <c r="F370" s="1" t="str">
        <f>"45206    "</f>
        <v xml:space="preserve">45206    </v>
      </c>
      <c r="G370" s="1" t="str">
        <f>"5132821016"</f>
        <v>5132821016</v>
      </c>
      <c r="H370" s="1" t="s">
        <v>2735</v>
      </c>
    </row>
    <row r="371" spans="1:8" x14ac:dyDescent="0.25">
      <c r="A371" s="1" t="str">
        <f>"416  "</f>
        <v xml:space="preserve">416  </v>
      </c>
      <c r="B371" s="1" t="s">
        <v>790</v>
      </c>
      <c r="C371" s="1" t="s">
        <v>791</v>
      </c>
      <c r="D371" s="1" t="s">
        <v>2701</v>
      </c>
      <c r="E371" s="1" t="s">
        <v>2660</v>
      </c>
      <c r="F371" s="1" t="str">
        <f>"29202    "</f>
        <v xml:space="preserve">29202    </v>
      </c>
      <c r="G371" s="1" t="str">
        <f>"8008681032"</f>
        <v>8008681032</v>
      </c>
      <c r="H371" s="1" t="s">
        <v>792</v>
      </c>
    </row>
    <row r="372" spans="1:8" x14ac:dyDescent="0.25">
      <c r="A372" s="1" t="str">
        <f>"433  "</f>
        <v xml:space="preserve">433  </v>
      </c>
      <c r="B372" s="1" t="s">
        <v>2115</v>
      </c>
      <c r="C372" s="1" t="s">
        <v>2116</v>
      </c>
      <c r="D372" s="1" t="s">
        <v>2701</v>
      </c>
      <c r="E372" s="1" t="s">
        <v>2660</v>
      </c>
      <c r="F372" s="1" t="str">
        <f>"29202    "</f>
        <v xml:space="preserve">29202    </v>
      </c>
      <c r="G372" s="1" t="str">
        <f>"8037880500"</f>
        <v>8037880500</v>
      </c>
      <c r="H372" s="1" t="s">
        <v>2637</v>
      </c>
    </row>
    <row r="373" spans="1:8" x14ac:dyDescent="0.25">
      <c r="A373" s="1" t="s">
        <v>120</v>
      </c>
      <c r="B373" s="1" t="s">
        <v>121</v>
      </c>
      <c r="C373" s="1" t="s">
        <v>122</v>
      </c>
      <c r="D373" s="1" t="s">
        <v>3157</v>
      </c>
      <c r="E373" s="1" t="s">
        <v>2970</v>
      </c>
      <c r="F373" s="1" t="str">
        <f>"37214    "</f>
        <v xml:space="preserve">37214    </v>
      </c>
      <c r="G373" s="1" t="str">
        <f>"8775311159"</f>
        <v>8775311159</v>
      </c>
      <c r="H373" s="1" t="s">
        <v>2637</v>
      </c>
    </row>
    <row r="374" spans="1:8" x14ac:dyDescent="0.25">
      <c r="A374" s="1" t="str">
        <f>"548  "</f>
        <v xml:space="preserve">548  </v>
      </c>
      <c r="B374" s="1" t="s">
        <v>2152</v>
      </c>
      <c r="C374" s="1" t="s">
        <v>2153</v>
      </c>
      <c r="D374" s="1" t="s">
        <v>2154</v>
      </c>
      <c r="E374" s="1" t="s">
        <v>2786</v>
      </c>
      <c r="F374" s="1" t="str">
        <f>"606804106"</f>
        <v>606804106</v>
      </c>
      <c r="G374" s="1" t="str">
        <f>"8005940977"</f>
        <v>8005940977</v>
      </c>
      <c r="H374" s="1" t="s">
        <v>2648</v>
      </c>
    </row>
    <row r="375" spans="1:8" x14ac:dyDescent="0.25">
      <c r="A375" s="1" t="s">
        <v>769</v>
      </c>
      <c r="B375" s="1" t="s">
        <v>770</v>
      </c>
      <c r="C375" s="1" t="str">
        <f>"1930 BISHOP LANE SUIT 132                         "</f>
        <v xml:space="preserve">1930 BISHOP LANE SUIT 132                         </v>
      </c>
      <c r="D375" s="1" t="s">
        <v>2743</v>
      </c>
      <c r="E375" s="1" t="s">
        <v>2744</v>
      </c>
      <c r="F375" s="1" t="str">
        <f>"40218    "</f>
        <v xml:space="preserve">40218    </v>
      </c>
      <c r="G375" s="1" t="str">
        <f>"8006331262"</f>
        <v>8006331262</v>
      </c>
      <c r="H375" s="1" t="s">
        <v>2637</v>
      </c>
    </row>
    <row r="376" spans="1:8" x14ac:dyDescent="0.25">
      <c r="A376" s="1" t="s">
        <v>2707</v>
      </c>
      <c r="B376" s="1" t="s">
        <v>2708</v>
      </c>
      <c r="C376" s="1" t="s">
        <v>2709</v>
      </c>
      <c r="D376" s="1" t="s">
        <v>2710</v>
      </c>
      <c r="E376" s="1" t="s">
        <v>2660</v>
      </c>
      <c r="F376" s="1" t="str">
        <f>"29603    "</f>
        <v xml:space="preserve">29603    </v>
      </c>
      <c r="G376" s="1" t="str">
        <f>"8662702316"</f>
        <v>8662702316</v>
      </c>
      <c r="H376" s="1" t="s">
        <v>2637</v>
      </c>
    </row>
    <row r="377" spans="1:8" x14ac:dyDescent="0.25">
      <c r="A377" s="1" t="s">
        <v>1804</v>
      </c>
      <c r="B377" s="1" t="s">
        <v>1805</v>
      </c>
      <c r="C377" s="1" t="s">
        <v>1806</v>
      </c>
      <c r="D377" s="1" t="s">
        <v>1807</v>
      </c>
      <c r="E377" s="1" t="s">
        <v>2773</v>
      </c>
      <c r="F377" s="1" t="str">
        <f>"11747    "</f>
        <v xml:space="preserve">11747    </v>
      </c>
      <c r="G377" s="1" t="str">
        <f>"8008283605"</f>
        <v>8008283605</v>
      </c>
      <c r="H377" s="1" t="s">
        <v>2637</v>
      </c>
    </row>
    <row r="378" spans="1:8" x14ac:dyDescent="0.25">
      <c r="A378" s="1" t="str">
        <f>"853  "</f>
        <v xml:space="preserve">853  </v>
      </c>
      <c r="B378" s="1" t="s">
        <v>515</v>
      </c>
      <c r="C378" s="1" t="s">
        <v>516</v>
      </c>
      <c r="D378" s="1" t="s">
        <v>2154</v>
      </c>
      <c r="E378" s="1" t="s">
        <v>2786</v>
      </c>
      <c r="F378" s="1" t="str">
        <f>"60680    "</f>
        <v xml:space="preserve">60680    </v>
      </c>
      <c r="G378" s="1" t="str">
        <f>"8775955282"</f>
        <v>8775955282</v>
      </c>
      <c r="H378" s="1" t="s">
        <v>2637</v>
      </c>
    </row>
    <row r="379" spans="1:8" x14ac:dyDescent="0.25">
      <c r="A379" s="1" t="str">
        <f>"412  "</f>
        <v xml:space="preserve">412  </v>
      </c>
      <c r="B379" s="1" t="s">
        <v>2949</v>
      </c>
      <c r="C379" s="1" t="s">
        <v>2554</v>
      </c>
      <c r="D379" s="1" t="s">
        <v>2555</v>
      </c>
      <c r="E379" s="1" t="s">
        <v>2952</v>
      </c>
      <c r="F379" s="1" t="str">
        <f>"06034    "</f>
        <v xml:space="preserve">06034    </v>
      </c>
      <c r="G379" s="1" t="str">
        <f>"8002517722"</f>
        <v>8002517722</v>
      </c>
      <c r="H379" s="1" t="s">
        <v>2637</v>
      </c>
    </row>
    <row r="380" spans="1:8" x14ac:dyDescent="0.25">
      <c r="A380" s="1" t="str">
        <f>"882  "</f>
        <v xml:space="preserve">882  </v>
      </c>
      <c r="B380" s="1" t="s">
        <v>2949</v>
      </c>
      <c r="C380" s="1" t="s">
        <v>2950</v>
      </c>
      <c r="D380" s="1" t="s">
        <v>2951</v>
      </c>
      <c r="E380" s="1" t="s">
        <v>2952</v>
      </c>
      <c r="F380" s="1" t="str">
        <f>"06034    "</f>
        <v xml:space="preserve">06034    </v>
      </c>
      <c r="G380" s="1" t="str">
        <f>"8772248230"</f>
        <v>8772248230</v>
      </c>
      <c r="H380" s="1" t="s">
        <v>2688</v>
      </c>
    </row>
    <row r="381" spans="1:8" x14ac:dyDescent="0.25">
      <c r="A381" s="1" t="str">
        <f>"331  "</f>
        <v xml:space="preserve">331  </v>
      </c>
      <c r="B381" s="1" t="s">
        <v>295</v>
      </c>
      <c r="C381" s="1" t="s">
        <v>296</v>
      </c>
      <c r="D381" s="1" t="s">
        <v>2154</v>
      </c>
      <c r="E381" s="1" t="s">
        <v>2786</v>
      </c>
      <c r="F381" s="1" t="str">
        <f>"606660904"</f>
        <v>606660904</v>
      </c>
      <c r="G381" s="1" t="str">
        <f>"8005412254"</f>
        <v>8005412254</v>
      </c>
      <c r="H381" s="1" t="s">
        <v>2637</v>
      </c>
    </row>
    <row r="382" spans="1:8" x14ac:dyDescent="0.25">
      <c r="A382" s="1" t="str">
        <f>"525  "</f>
        <v xml:space="preserve">525  </v>
      </c>
      <c r="B382" s="1" t="s">
        <v>2014</v>
      </c>
      <c r="C382" s="1" t="s">
        <v>2015</v>
      </c>
      <c r="D382" s="1" t="s">
        <v>2016</v>
      </c>
      <c r="E382" s="1" t="s">
        <v>2786</v>
      </c>
      <c r="F382" s="1" t="str">
        <f>"61105    "</f>
        <v xml:space="preserve">61105    </v>
      </c>
      <c r="G382" s="1" t="str">
        <f>"8009470319"</f>
        <v>8009470319</v>
      </c>
      <c r="H382" s="1" t="s">
        <v>2017</v>
      </c>
    </row>
    <row r="383" spans="1:8" x14ac:dyDescent="0.25">
      <c r="A383" s="1" t="s">
        <v>2698</v>
      </c>
      <c r="B383" s="1" t="s">
        <v>2699</v>
      </c>
      <c r="C383" s="1" t="s">
        <v>2700</v>
      </c>
      <c r="D383" s="1" t="s">
        <v>2701</v>
      </c>
      <c r="E383" s="1" t="s">
        <v>2660</v>
      </c>
      <c r="F383" s="1" t="str">
        <f>"29224    "</f>
        <v xml:space="preserve">29224    </v>
      </c>
      <c r="G383" s="1" t="str">
        <f>"8037365088"</f>
        <v>8037365088</v>
      </c>
      <c r="H383" s="1" t="s">
        <v>2637</v>
      </c>
    </row>
    <row r="384" spans="1:8" x14ac:dyDescent="0.25">
      <c r="A384" s="1" t="str">
        <f>"970  "</f>
        <v xml:space="preserve">970  </v>
      </c>
      <c r="B384" s="1" t="s">
        <v>437</v>
      </c>
      <c r="C384" s="1" t="s">
        <v>438</v>
      </c>
      <c r="D384" s="1" t="s">
        <v>439</v>
      </c>
      <c r="E384" s="1" t="s">
        <v>2663</v>
      </c>
      <c r="F384" s="1" t="str">
        <f>"91709    "</f>
        <v xml:space="preserve">91709    </v>
      </c>
      <c r="G384" s="1" t="str">
        <f>"8009195514"</f>
        <v>8009195514</v>
      </c>
      <c r="H384" s="1" t="s">
        <v>2688</v>
      </c>
    </row>
    <row r="385" spans="1:8" x14ac:dyDescent="0.25">
      <c r="A385" s="1" t="str">
        <f>"802  "</f>
        <v xml:space="preserve">802  </v>
      </c>
      <c r="B385" s="1" t="s">
        <v>2255</v>
      </c>
      <c r="C385" s="1" t="s">
        <v>2216</v>
      </c>
      <c r="D385" s="1" t="s">
        <v>3188</v>
      </c>
      <c r="E385" s="1" t="s">
        <v>2832</v>
      </c>
      <c r="F385" s="1" t="str">
        <f>"325910130"</f>
        <v>325910130</v>
      </c>
      <c r="G385" s="1" t="str">
        <f>"8007896364"</f>
        <v>8007896364</v>
      </c>
      <c r="H385" s="1" t="s">
        <v>2637</v>
      </c>
    </row>
    <row r="386" spans="1:8" x14ac:dyDescent="0.25">
      <c r="A386" s="1" t="s">
        <v>1433</v>
      </c>
      <c r="B386" s="1" t="s">
        <v>1434</v>
      </c>
      <c r="C386" s="1" t="str">
        <f>"9040 ROSWELL ROAD SUITE 700                       "</f>
        <v xml:space="preserve">9040 ROSWELL ROAD SUITE 700                       </v>
      </c>
      <c r="D386" s="1" t="s">
        <v>2717</v>
      </c>
      <c r="E386" s="1" t="s">
        <v>2681</v>
      </c>
      <c r="F386" s="1" t="str">
        <f>"303501853"</f>
        <v>303501853</v>
      </c>
      <c r="G386" s="1" t="str">
        <f>"8003654944"</f>
        <v>8003654944</v>
      </c>
      <c r="H386" s="1" t="s">
        <v>2637</v>
      </c>
    </row>
    <row r="387" spans="1:8" x14ac:dyDescent="0.25">
      <c r="A387" s="1" t="str">
        <f>"154  "</f>
        <v xml:space="preserve">154  </v>
      </c>
      <c r="B387" s="1" t="s">
        <v>804</v>
      </c>
      <c r="C387" s="1" t="s">
        <v>805</v>
      </c>
      <c r="D387" s="1" t="s">
        <v>806</v>
      </c>
      <c r="E387" s="1" t="s">
        <v>2663</v>
      </c>
      <c r="F387" s="1" t="str">
        <f>"926906080"</f>
        <v>926906080</v>
      </c>
      <c r="G387" s="1" t="str">
        <f>"8884114208"</f>
        <v>8884114208</v>
      </c>
      <c r="H387" s="1" t="s">
        <v>2688</v>
      </c>
    </row>
    <row r="388" spans="1:8" x14ac:dyDescent="0.25">
      <c r="A388" s="1" t="s">
        <v>856</v>
      </c>
      <c r="B388" s="1" t="s">
        <v>857</v>
      </c>
      <c r="C388" s="1" t="s">
        <v>858</v>
      </c>
      <c r="D388" s="1" t="s">
        <v>2616</v>
      </c>
      <c r="E388" s="1" t="s">
        <v>2660</v>
      </c>
      <c r="F388" s="1" t="str">
        <f>"29304    "</f>
        <v xml:space="preserve">29304    </v>
      </c>
      <c r="G388" s="1" t="str">
        <f>"8645739541"</f>
        <v>8645739541</v>
      </c>
      <c r="H388" s="1" t="s">
        <v>859</v>
      </c>
    </row>
    <row r="389" spans="1:8" x14ac:dyDescent="0.25">
      <c r="A389" s="1" t="str">
        <f>"592  "</f>
        <v xml:space="preserve">592  </v>
      </c>
      <c r="B389" s="1" t="s">
        <v>1473</v>
      </c>
      <c r="C389" s="1" t="str">
        <f>"525 LOCUS GROVE RD                                "</f>
        <v xml:space="preserve">525 LOCUS GROVE RD                                </v>
      </c>
      <c r="D389" s="1" t="s">
        <v>2616</v>
      </c>
      <c r="E389" s="1" t="s">
        <v>2660</v>
      </c>
      <c r="F389" s="1" t="str">
        <f>"29303    "</f>
        <v xml:space="preserve">29303    </v>
      </c>
      <c r="G389" s="1" t="str">
        <f>"8645038333"</f>
        <v>8645038333</v>
      </c>
      <c r="H389" s="1" t="s">
        <v>2688</v>
      </c>
    </row>
    <row r="390" spans="1:8" x14ac:dyDescent="0.25">
      <c r="A390" s="1" t="s">
        <v>3174</v>
      </c>
      <c r="B390" s="1" t="s">
        <v>3175</v>
      </c>
      <c r="C390" s="1" t="s">
        <v>3176</v>
      </c>
      <c r="D390" s="1" t="s">
        <v>2891</v>
      </c>
      <c r="E390" s="1" t="s">
        <v>2862</v>
      </c>
      <c r="F390" s="1" t="str">
        <f>"681247007"</f>
        <v>681247007</v>
      </c>
      <c r="G390" s="1" t="str">
        <f>"4023973200"</f>
        <v>4023973200</v>
      </c>
      <c r="H390" s="1" t="s">
        <v>2637</v>
      </c>
    </row>
    <row r="391" spans="1:8" x14ac:dyDescent="0.25">
      <c r="A391" s="1" t="str">
        <f>"895  "</f>
        <v xml:space="preserve">895  </v>
      </c>
      <c r="B391" s="1" t="s">
        <v>3276</v>
      </c>
      <c r="C391" s="1" t="s">
        <v>3277</v>
      </c>
      <c r="D391" s="1" t="s">
        <v>3278</v>
      </c>
      <c r="E391" s="1" t="s">
        <v>2970</v>
      </c>
      <c r="F391" s="1" t="str">
        <f>"37024    "</f>
        <v xml:space="preserve">37024    </v>
      </c>
      <c r="G391" s="1" t="str">
        <f>"6153771300"</f>
        <v>6153771300</v>
      </c>
      <c r="H391" s="1" t="s">
        <v>2637</v>
      </c>
    </row>
    <row r="392" spans="1:8" x14ac:dyDescent="0.25">
      <c r="A392" s="1" t="s">
        <v>1689</v>
      </c>
      <c r="B392" s="1" t="s">
        <v>1690</v>
      </c>
      <c r="C392" s="1" t="s">
        <v>1691</v>
      </c>
      <c r="D392" s="1" t="s">
        <v>2701</v>
      </c>
      <c r="E392" s="1" t="s">
        <v>2660</v>
      </c>
      <c r="F392" s="1" t="str">
        <f>"29260    "</f>
        <v xml:space="preserve">29260    </v>
      </c>
      <c r="G392" s="1" t="str">
        <f>"8037824947"</f>
        <v>8037824947</v>
      </c>
      <c r="H392" s="1" t="s">
        <v>2637</v>
      </c>
    </row>
    <row r="393" spans="1:8" x14ac:dyDescent="0.25">
      <c r="A393" s="1" t="str">
        <f>"830  "</f>
        <v xml:space="preserve">830  </v>
      </c>
      <c r="B393" s="1" t="s">
        <v>1796</v>
      </c>
      <c r="C393" s="1" t="s">
        <v>1797</v>
      </c>
      <c r="D393" s="1" t="s">
        <v>2805</v>
      </c>
      <c r="E393" s="1" t="s">
        <v>2636</v>
      </c>
      <c r="F393" s="1" t="str">
        <f>"78755    "</f>
        <v xml:space="preserve">78755    </v>
      </c>
      <c r="G393" s="1" t="str">
        <f>"8002477724"</f>
        <v>8002477724</v>
      </c>
      <c r="H393" s="1" t="s">
        <v>2637</v>
      </c>
    </row>
    <row r="394" spans="1:8" x14ac:dyDescent="0.25">
      <c r="A394" s="1" t="str">
        <f>"192  "</f>
        <v xml:space="preserve">192  </v>
      </c>
      <c r="B394" s="1" t="s">
        <v>552</v>
      </c>
      <c r="C394" s="1" t="s">
        <v>553</v>
      </c>
      <c r="D394" s="1" t="s">
        <v>2791</v>
      </c>
      <c r="E394" s="1" t="s">
        <v>2744</v>
      </c>
      <c r="F394" s="1" t="str">
        <f>"40742    "</f>
        <v xml:space="preserve">40742    </v>
      </c>
      <c r="G394" s="1" t="str">
        <f>"8002883343"</f>
        <v>8002883343</v>
      </c>
      <c r="H394" s="1" t="s">
        <v>2648</v>
      </c>
    </row>
    <row r="395" spans="1:8" x14ac:dyDescent="0.25">
      <c r="A395" s="1" t="str">
        <f>"928  "</f>
        <v xml:space="preserve">928  </v>
      </c>
      <c r="B395" s="1" t="s">
        <v>104</v>
      </c>
      <c r="C395" s="1" t="s">
        <v>105</v>
      </c>
      <c r="D395" s="1" t="s">
        <v>106</v>
      </c>
      <c r="E395" s="1" t="s">
        <v>2706</v>
      </c>
      <c r="F395" s="1" t="str">
        <f>"47402    "</f>
        <v xml:space="preserve">47402    </v>
      </c>
      <c r="G395" s="1" t="str">
        <f>"8005932080"</f>
        <v>8005932080</v>
      </c>
      <c r="H395" s="1" t="s">
        <v>2637</v>
      </c>
    </row>
    <row r="396" spans="1:8" x14ac:dyDescent="0.25">
      <c r="A396" s="1" t="str">
        <f>"483  "</f>
        <v xml:space="preserve">483  </v>
      </c>
      <c r="B396" s="1" t="s">
        <v>1379</v>
      </c>
      <c r="C396" s="1" t="s">
        <v>1380</v>
      </c>
      <c r="D396" s="1" t="s">
        <v>1381</v>
      </c>
      <c r="E396" s="1" t="s">
        <v>2862</v>
      </c>
      <c r="F396" s="1" t="str">
        <f>"68506    "</f>
        <v xml:space="preserve">68506    </v>
      </c>
      <c r="G396" s="1" t="str">
        <f>"4024839250"</f>
        <v>4024839250</v>
      </c>
      <c r="H396" s="1" t="s">
        <v>2637</v>
      </c>
    </row>
    <row r="397" spans="1:8" x14ac:dyDescent="0.25">
      <c r="A397" s="1" t="str">
        <f>"551  "</f>
        <v xml:space="preserve">551  </v>
      </c>
      <c r="B397" s="1" t="s">
        <v>844</v>
      </c>
      <c r="C397" s="1" t="s">
        <v>845</v>
      </c>
      <c r="D397" s="1" t="s">
        <v>2705</v>
      </c>
      <c r="E397" s="1" t="s">
        <v>2706</v>
      </c>
      <c r="F397" s="1" t="str">
        <f>"46250    "</f>
        <v xml:space="preserve">46250    </v>
      </c>
      <c r="G397" s="1" t="str">
        <f>"8668734516"</f>
        <v>8668734516</v>
      </c>
      <c r="H397" s="1" t="s">
        <v>2735</v>
      </c>
    </row>
    <row r="398" spans="1:8" x14ac:dyDescent="0.25">
      <c r="A398" s="1" t="str">
        <f>"211  "</f>
        <v xml:space="preserve">211  </v>
      </c>
      <c r="B398" s="1" t="s">
        <v>2059</v>
      </c>
      <c r="C398" s="1" t="s">
        <v>2060</v>
      </c>
      <c r="D398" s="1" t="s">
        <v>2061</v>
      </c>
      <c r="E398" s="1" t="s">
        <v>2636</v>
      </c>
      <c r="F398" s="1" t="str">
        <f>"750853925"</f>
        <v>750853925</v>
      </c>
      <c r="G398" s="1" t="str">
        <f>"8007531000"</f>
        <v>8007531000</v>
      </c>
      <c r="H398" s="1" t="s">
        <v>2637</v>
      </c>
    </row>
    <row r="399" spans="1:8" x14ac:dyDescent="0.25">
      <c r="A399" s="1" t="str">
        <f>"843  "</f>
        <v xml:space="preserve">843  </v>
      </c>
      <c r="B399" s="1" t="s">
        <v>1447</v>
      </c>
      <c r="C399" s="1" t="s">
        <v>1448</v>
      </c>
      <c r="D399" s="1" t="s">
        <v>1449</v>
      </c>
      <c r="E399" s="1" t="s">
        <v>2681</v>
      </c>
      <c r="F399" s="1" t="str">
        <f>"31202    "</f>
        <v xml:space="preserve">31202    </v>
      </c>
      <c r="G399" s="1" t="str">
        <f>"8887412673"</f>
        <v>8887412673</v>
      </c>
      <c r="H399" s="1" t="s">
        <v>2637</v>
      </c>
    </row>
    <row r="400" spans="1:8" x14ac:dyDescent="0.25">
      <c r="A400" s="1" t="str">
        <f>"138  "</f>
        <v xml:space="preserve">138  </v>
      </c>
      <c r="B400" s="1" t="s">
        <v>1943</v>
      </c>
      <c r="C400" s="1" t="s">
        <v>1944</v>
      </c>
      <c r="D400" s="1" t="s">
        <v>3263</v>
      </c>
      <c r="E400" s="1" t="s">
        <v>3264</v>
      </c>
      <c r="F400" s="1" t="str">
        <f>"527332920"</f>
        <v>527332920</v>
      </c>
      <c r="G400" s="1" t="str">
        <f>"8775433935"</f>
        <v>8775433935</v>
      </c>
      <c r="H400" s="1" t="s">
        <v>2637</v>
      </c>
    </row>
    <row r="401" spans="1:8" x14ac:dyDescent="0.25">
      <c r="A401" s="1" t="str">
        <f>"552  "</f>
        <v xml:space="preserve">552  </v>
      </c>
      <c r="B401" s="1" t="s">
        <v>2102</v>
      </c>
      <c r="C401" s="1" t="s">
        <v>168</v>
      </c>
      <c r="D401" s="1" t="s">
        <v>3263</v>
      </c>
      <c r="E401" s="1" t="s">
        <v>3264</v>
      </c>
      <c r="F401" s="1" t="str">
        <f>"52733    "</f>
        <v xml:space="preserve">52733    </v>
      </c>
      <c r="G401" s="1" t="str">
        <f>"8003275462"</f>
        <v>8003275462</v>
      </c>
      <c r="H401" s="1" t="s">
        <v>2637</v>
      </c>
    </row>
    <row r="402" spans="1:8" x14ac:dyDescent="0.25">
      <c r="A402" s="1" t="str">
        <f>"552DN"</f>
        <v>552DN</v>
      </c>
      <c r="B402" s="1" t="s">
        <v>2102</v>
      </c>
      <c r="C402" s="1" t="str">
        <f>"6100 FAIRVIEW ROAD                                "</f>
        <v xml:space="preserve">6100 FAIRVIEW ROAD                                </v>
      </c>
      <c r="D402" s="1" t="s">
        <v>2906</v>
      </c>
      <c r="E402" s="1" t="s">
        <v>2677</v>
      </c>
      <c r="F402" s="1" t="str">
        <f>"28210    "</f>
        <v xml:space="preserve">28210    </v>
      </c>
      <c r="G402" s="1" t="str">
        <f>"8003275462"</f>
        <v>8003275462</v>
      </c>
      <c r="H402" s="1" t="s">
        <v>2637</v>
      </c>
    </row>
    <row r="403" spans="1:8" x14ac:dyDescent="0.25">
      <c r="A403" s="1" t="str">
        <f>"571  "</f>
        <v xml:space="preserve">571  </v>
      </c>
      <c r="B403" s="1" t="s">
        <v>2318</v>
      </c>
      <c r="C403" s="1" t="s">
        <v>3006</v>
      </c>
      <c r="D403" s="1" t="s">
        <v>2943</v>
      </c>
      <c r="E403" s="1" t="s">
        <v>2944</v>
      </c>
      <c r="F403" s="1" t="str">
        <f>"722218215"</f>
        <v>722218215</v>
      </c>
      <c r="G403" s="1" t="str">
        <f>"8886049397"</f>
        <v>8886049397</v>
      </c>
      <c r="H403" s="1" t="s">
        <v>2735</v>
      </c>
    </row>
    <row r="404" spans="1:8" x14ac:dyDescent="0.25">
      <c r="A404" s="1" t="str">
        <f>"364  "</f>
        <v xml:space="preserve">364  </v>
      </c>
      <c r="B404" s="1" t="s">
        <v>615</v>
      </c>
      <c r="C404" s="1" t="s">
        <v>616</v>
      </c>
      <c r="D404" s="1" t="s">
        <v>2901</v>
      </c>
      <c r="E404" s="1" t="s">
        <v>2902</v>
      </c>
      <c r="F404" s="1" t="str">
        <f>"55440    "</f>
        <v xml:space="preserve">55440    </v>
      </c>
      <c r="G404" s="1" t="str">
        <f>"8004446965"</f>
        <v>8004446965</v>
      </c>
      <c r="H404" s="1" t="s">
        <v>2637</v>
      </c>
    </row>
    <row r="405" spans="1:8" x14ac:dyDescent="0.25">
      <c r="A405" s="1" t="str">
        <f>"857  "</f>
        <v xml:space="preserve">857  </v>
      </c>
      <c r="B405" s="1" t="s">
        <v>1599</v>
      </c>
      <c r="C405" s="1" t="s">
        <v>1600</v>
      </c>
      <c r="D405" s="1" t="s">
        <v>2854</v>
      </c>
      <c r="E405" s="1" t="s">
        <v>2636</v>
      </c>
      <c r="F405" s="1" t="str">
        <f>"79998    "</f>
        <v xml:space="preserve">79998    </v>
      </c>
      <c r="G405" s="1" t="str">
        <f>"7043730447"</f>
        <v>7043730447</v>
      </c>
      <c r="H405" s="1" t="s">
        <v>2637</v>
      </c>
    </row>
    <row r="406" spans="1:8" x14ac:dyDescent="0.25">
      <c r="A406" s="1" t="str">
        <f>"857DN"</f>
        <v>857DN</v>
      </c>
      <c r="B406" s="1" t="s">
        <v>1599</v>
      </c>
      <c r="C406" s="1" t="s">
        <v>77</v>
      </c>
      <c r="D406" s="1" t="s">
        <v>2906</v>
      </c>
      <c r="E406" s="1" t="s">
        <v>2677</v>
      </c>
      <c r="F406" s="1" t="str">
        <f>"28220    "</f>
        <v xml:space="preserve">28220    </v>
      </c>
      <c r="G406" s="1" t="str">
        <f>"7043730447"</f>
        <v>7043730447</v>
      </c>
      <c r="H406" s="1" t="s">
        <v>2637</v>
      </c>
    </row>
    <row r="407" spans="1:8" x14ac:dyDescent="0.25">
      <c r="A407" s="1" t="s">
        <v>607</v>
      </c>
      <c r="B407" s="1" t="s">
        <v>608</v>
      </c>
      <c r="C407" s="1" t="s">
        <v>609</v>
      </c>
      <c r="D407" s="1" t="s">
        <v>610</v>
      </c>
      <c r="E407" s="1" t="s">
        <v>2902</v>
      </c>
      <c r="F407" s="1" t="str">
        <f>"55343    "</f>
        <v xml:space="preserve">55343    </v>
      </c>
      <c r="G407" s="1" t="str">
        <f>"8007654224"</f>
        <v>8007654224</v>
      </c>
      <c r="H407" s="1" t="s">
        <v>2637</v>
      </c>
    </row>
    <row r="408" spans="1:8" x14ac:dyDescent="0.25">
      <c r="A408" s="1" t="str">
        <f>"831  "</f>
        <v xml:space="preserve">831  </v>
      </c>
      <c r="B408" s="1" t="s">
        <v>3005</v>
      </c>
      <c r="C408" s="1" t="s">
        <v>3006</v>
      </c>
      <c r="D408" s="1" t="s">
        <v>2943</v>
      </c>
      <c r="E408" s="1" t="s">
        <v>2944</v>
      </c>
      <c r="F408" s="1" t="str">
        <f>"72221    "</f>
        <v xml:space="preserve">72221    </v>
      </c>
      <c r="G408" s="1" t="str">
        <f>"8886049397"</f>
        <v>8886049397</v>
      </c>
      <c r="H408" s="1" t="s">
        <v>2637</v>
      </c>
    </row>
    <row r="409" spans="1:8" x14ac:dyDescent="0.25">
      <c r="A409" s="1" t="str">
        <f>"780  "</f>
        <v xml:space="preserve">780  </v>
      </c>
      <c r="B409" s="1" t="s">
        <v>1009</v>
      </c>
      <c r="C409" s="1" t="s">
        <v>1010</v>
      </c>
      <c r="D409" s="1" t="s">
        <v>1011</v>
      </c>
      <c r="E409" s="1" t="s">
        <v>2970</v>
      </c>
      <c r="F409" s="1" t="str">
        <f>"376024985"</f>
        <v>376024985</v>
      </c>
      <c r="G409" s="1" t="str">
        <f>"8002752847"</f>
        <v>8002752847</v>
      </c>
      <c r="H409" s="1" t="s">
        <v>2637</v>
      </c>
    </row>
    <row r="410" spans="1:8" x14ac:dyDescent="0.25">
      <c r="A410" s="1" t="str">
        <f>"213  "</f>
        <v xml:space="preserve">213  </v>
      </c>
      <c r="B410" s="1" t="s">
        <v>2815</v>
      </c>
      <c r="C410" s="1" t="s">
        <v>2816</v>
      </c>
      <c r="D410" s="1" t="s">
        <v>2717</v>
      </c>
      <c r="E410" s="1" t="s">
        <v>2681</v>
      </c>
      <c r="F410" s="1" t="str">
        <f>"30348    "</f>
        <v xml:space="preserve">30348    </v>
      </c>
      <c r="G410" s="1" t="str">
        <f>"7702396230"</f>
        <v>7702396230</v>
      </c>
      <c r="H410" s="1" t="s">
        <v>2637</v>
      </c>
    </row>
    <row r="411" spans="1:8" x14ac:dyDescent="0.25">
      <c r="A411" s="1" t="str">
        <f>"245  "</f>
        <v xml:space="preserve">245  </v>
      </c>
      <c r="B411" s="1" t="s">
        <v>1590</v>
      </c>
      <c r="C411" s="1" t="s">
        <v>1591</v>
      </c>
      <c r="D411" s="1" t="s">
        <v>2791</v>
      </c>
      <c r="E411" s="1" t="s">
        <v>2744</v>
      </c>
      <c r="F411" s="1" t="str">
        <f>"40742    "</f>
        <v xml:space="preserve">40742    </v>
      </c>
      <c r="G411" s="1" t="str">
        <f>"8009357284"</f>
        <v>8009357284</v>
      </c>
      <c r="H411" s="1" t="s">
        <v>2637</v>
      </c>
    </row>
    <row r="412" spans="1:8" x14ac:dyDescent="0.25">
      <c r="A412" s="1" t="str">
        <f>"480  "</f>
        <v xml:space="preserve">480  </v>
      </c>
      <c r="B412" s="1" t="s">
        <v>2392</v>
      </c>
      <c r="C412" s="1" t="s">
        <v>2393</v>
      </c>
      <c r="D412" s="1" t="s">
        <v>2791</v>
      </c>
      <c r="E412" s="1" t="s">
        <v>2744</v>
      </c>
      <c r="F412" s="1" t="str">
        <f>"40742    "</f>
        <v xml:space="preserve">40742    </v>
      </c>
      <c r="G412" s="1" t="str">
        <f>"8008891947"</f>
        <v>8008891947</v>
      </c>
      <c r="H412" s="1" t="s">
        <v>2394</v>
      </c>
    </row>
    <row r="413" spans="1:8" x14ac:dyDescent="0.25">
      <c r="A413" s="1" t="str">
        <f>"191  "</f>
        <v xml:space="preserve">191  </v>
      </c>
      <c r="B413" s="1" t="s">
        <v>2303</v>
      </c>
      <c r="C413" s="1" t="s">
        <v>2304</v>
      </c>
      <c r="D413" s="1" t="s">
        <v>2791</v>
      </c>
      <c r="E413" s="1" t="s">
        <v>2744</v>
      </c>
      <c r="F413" s="1" t="str">
        <f>"40742    "</f>
        <v xml:space="preserve">40742    </v>
      </c>
      <c r="G413" s="1" t="str">
        <f>"8008337423"</f>
        <v>8008337423</v>
      </c>
      <c r="H413" s="1" t="s">
        <v>2305</v>
      </c>
    </row>
    <row r="414" spans="1:8" x14ac:dyDescent="0.25">
      <c r="A414" s="1" t="str">
        <f>"482  "</f>
        <v xml:space="preserve">482  </v>
      </c>
      <c r="B414" s="1" t="s">
        <v>1218</v>
      </c>
      <c r="C414" s="1" t="s">
        <v>1219</v>
      </c>
      <c r="D414" s="1" t="s">
        <v>2791</v>
      </c>
      <c r="E414" s="1" t="s">
        <v>2744</v>
      </c>
      <c r="F414" s="1" t="str">
        <f>"40742    "</f>
        <v xml:space="preserve">40742    </v>
      </c>
      <c r="G414" s="1" t="str">
        <f>"8667321017"</f>
        <v>8667321017</v>
      </c>
      <c r="H414" s="1" t="s">
        <v>2637</v>
      </c>
    </row>
    <row r="415" spans="1:8" x14ac:dyDescent="0.25">
      <c r="A415" s="1" t="str">
        <f>"443  "</f>
        <v xml:space="preserve">443  </v>
      </c>
      <c r="B415" s="1" t="s">
        <v>2955</v>
      </c>
      <c r="C415" s="1" t="s">
        <v>2956</v>
      </c>
      <c r="D415" s="1" t="s">
        <v>2791</v>
      </c>
      <c r="E415" s="1" t="s">
        <v>2744</v>
      </c>
      <c r="F415" s="1" t="str">
        <f>"39026    "</f>
        <v xml:space="preserve">39026    </v>
      </c>
      <c r="G415" s="1" t="str">
        <f>"8667858077"</f>
        <v>8667858077</v>
      </c>
      <c r="H415" s="1" t="s">
        <v>2688</v>
      </c>
    </row>
    <row r="416" spans="1:8" x14ac:dyDescent="0.25">
      <c r="A416" s="1" t="str">
        <f>"246  "</f>
        <v xml:space="preserve">246  </v>
      </c>
      <c r="B416" s="1" t="s">
        <v>796</v>
      </c>
      <c r="C416" s="1" t="s">
        <v>797</v>
      </c>
      <c r="D416" s="1" t="s">
        <v>2791</v>
      </c>
      <c r="E416" s="1" t="s">
        <v>2744</v>
      </c>
      <c r="F416" s="1" t="str">
        <f>"40742    "</f>
        <v xml:space="preserve">40742    </v>
      </c>
      <c r="G416" s="1" t="str">
        <f>"8009476824"</f>
        <v>8009476824</v>
      </c>
      <c r="H416" s="1" t="s">
        <v>2637</v>
      </c>
    </row>
    <row r="417" spans="1:8" x14ac:dyDescent="0.25">
      <c r="A417" s="1" t="str">
        <f>"632  "</f>
        <v xml:space="preserve">632  </v>
      </c>
      <c r="B417" s="1" t="s">
        <v>2259</v>
      </c>
      <c r="C417" s="1" t="str">
        <f>"-                                                 "</f>
        <v xml:space="preserve">-                                                 </v>
      </c>
      <c r="D417" s="1" t="str">
        <f>"-                                      "</f>
        <v xml:space="preserve">-                                      </v>
      </c>
      <c r="E417" s="1" t="str">
        <f>"- "</f>
        <v xml:space="preserve">- </v>
      </c>
      <c r="F417" s="1" t="str">
        <f>"-----    "</f>
        <v xml:space="preserve">-----    </v>
      </c>
      <c r="G417" s="1" t="s">
        <v>2637</v>
      </c>
      <c r="H417" s="1" t="s">
        <v>2637</v>
      </c>
    </row>
    <row r="418" spans="1:8" x14ac:dyDescent="0.25">
      <c r="A418" s="1" t="str">
        <f>"155  "</f>
        <v xml:space="preserve">155  </v>
      </c>
      <c r="B418" s="1" t="s">
        <v>2176</v>
      </c>
      <c r="C418" s="1" t="s">
        <v>2177</v>
      </c>
      <c r="D418" s="1" t="s">
        <v>2178</v>
      </c>
      <c r="E418" s="1" t="s">
        <v>2821</v>
      </c>
      <c r="F418" s="1" t="str">
        <f>"07054    "</f>
        <v xml:space="preserve">07054    </v>
      </c>
      <c r="G418" s="1" t="str">
        <f>"8663027332"</f>
        <v>8663027332</v>
      </c>
      <c r="H418" s="1" t="s">
        <v>2648</v>
      </c>
    </row>
    <row r="419" spans="1:8" x14ac:dyDescent="0.25">
      <c r="A419" s="1" t="str">
        <f>"169  "</f>
        <v xml:space="preserve">169  </v>
      </c>
      <c r="B419" s="1" t="s">
        <v>657</v>
      </c>
      <c r="C419" s="1" t="str">
        <f>"930 BEAUMONT AVENUE                               "</f>
        <v xml:space="preserve">930 BEAUMONT AVENUE                               </v>
      </c>
      <c r="D419" s="1" t="s">
        <v>2616</v>
      </c>
      <c r="E419" s="1" t="s">
        <v>2660</v>
      </c>
      <c r="F419" s="1" t="str">
        <f>"29303    "</f>
        <v xml:space="preserve">29303    </v>
      </c>
      <c r="G419" s="1" t="str">
        <f>"8645856456"</f>
        <v>8645856456</v>
      </c>
      <c r="H419" s="1" t="s">
        <v>2637</v>
      </c>
    </row>
    <row r="420" spans="1:8" x14ac:dyDescent="0.25">
      <c r="A420" s="1" t="str">
        <f>"420  "</f>
        <v xml:space="preserve">420  </v>
      </c>
      <c r="B420" s="1" t="s">
        <v>732</v>
      </c>
      <c r="C420" s="1" t="s">
        <v>733</v>
      </c>
      <c r="D420" s="1" t="s">
        <v>2939</v>
      </c>
      <c r="E420" s="1" t="s">
        <v>2667</v>
      </c>
      <c r="F420" s="1" t="str">
        <f>"53701    "</f>
        <v xml:space="preserve">53701    </v>
      </c>
      <c r="G420" s="1" t="str">
        <f>"6082385851"</f>
        <v>6082385851</v>
      </c>
      <c r="H420" s="1" t="s">
        <v>2637</v>
      </c>
    </row>
    <row r="421" spans="1:8" x14ac:dyDescent="0.25">
      <c r="A421" s="1" t="str">
        <f>"194  "</f>
        <v xml:space="preserve">194  </v>
      </c>
      <c r="B421" s="1" t="s">
        <v>1744</v>
      </c>
      <c r="C421" s="1" t="s">
        <v>1745</v>
      </c>
      <c r="D421" s="1" t="s">
        <v>3033</v>
      </c>
      <c r="E421" s="1" t="s">
        <v>3034</v>
      </c>
      <c r="F421" s="1" t="str">
        <f>"571177406"</f>
        <v>571177406</v>
      </c>
      <c r="G421" s="1" t="s">
        <v>2637</v>
      </c>
      <c r="H421" s="1" t="s">
        <v>2688</v>
      </c>
    </row>
    <row r="422" spans="1:8" x14ac:dyDescent="0.25">
      <c r="A422" s="1" t="str">
        <f>"665  "</f>
        <v xml:space="preserve">665  </v>
      </c>
      <c r="B422" s="1" t="s">
        <v>2588</v>
      </c>
      <c r="C422" s="1" t="str">
        <f>"-                                                 "</f>
        <v xml:space="preserve">-                                                 </v>
      </c>
      <c r="D422" s="1" t="str">
        <f>"-                                      "</f>
        <v xml:space="preserve">-                                      </v>
      </c>
      <c r="E422" s="1" t="str">
        <f>"- "</f>
        <v xml:space="preserve">- </v>
      </c>
      <c r="F422" s="1" t="str">
        <f>"-        "</f>
        <v xml:space="preserve">-        </v>
      </c>
      <c r="G422" s="1" t="s">
        <v>2637</v>
      </c>
      <c r="H422" s="1" t="s">
        <v>2637</v>
      </c>
    </row>
    <row r="423" spans="1:8" x14ac:dyDescent="0.25">
      <c r="A423" s="1" t="s">
        <v>1087</v>
      </c>
      <c r="B423" s="1" t="s">
        <v>1088</v>
      </c>
      <c r="C423" s="1" t="s">
        <v>1089</v>
      </c>
      <c r="D423" s="1" t="s">
        <v>1090</v>
      </c>
      <c r="E423" s="1" t="s">
        <v>2644</v>
      </c>
      <c r="F423" s="1" t="str">
        <f>"488540318"</f>
        <v>488540318</v>
      </c>
      <c r="G423" s="1" t="str">
        <f>"8002480457"</f>
        <v>8002480457</v>
      </c>
      <c r="H423" s="1" t="s">
        <v>2637</v>
      </c>
    </row>
    <row r="424" spans="1:8" x14ac:dyDescent="0.25">
      <c r="A424" s="1" t="s">
        <v>2217</v>
      </c>
      <c r="B424" s="1" t="s">
        <v>2218</v>
      </c>
      <c r="C424" s="1" t="str">
        <f>"5920 ODELLE ST                                    "</f>
        <v xml:space="preserve">5920 ODELLE ST                                    </v>
      </c>
      <c r="D424" s="1" t="s">
        <v>2219</v>
      </c>
      <c r="E424" s="1" t="s">
        <v>2681</v>
      </c>
      <c r="F424" s="1" t="str">
        <f>"30040    "</f>
        <v xml:space="preserve">30040    </v>
      </c>
      <c r="G424" s="1" t="str">
        <f>"8778231273"</f>
        <v>8778231273</v>
      </c>
      <c r="H424" s="1" t="s">
        <v>2637</v>
      </c>
    </row>
    <row r="425" spans="1:8" x14ac:dyDescent="0.25">
      <c r="A425" s="1" t="str">
        <f>"436  "</f>
        <v xml:space="preserve">436  </v>
      </c>
      <c r="B425" s="1" t="s">
        <v>1985</v>
      </c>
      <c r="C425" s="1" t="s">
        <v>1986</v>
      </c>
      <c r="D425" s="1" t="s">
        <v>2701</v>
      </c>
      <c r="E425" s="1" t="s">
        <v>2660</v>
      </c>
      <c r="F425" s="1" t="str">
        <f>"29212    "</f>
        <v xml:space="preserve">29212    </v>
      </c>
      <c r="G425" s="1" t="str">
        <f>"8037320060"</f>
        <v>8037320060</v>
      </c>
      <c r="H425" s="1" t="s">
        <v>2637</v>
      </c>
    </row>
    <row r="426" spans="1:8" x14ac:dyDescent="0.25">
      <c r="A426" s="1" t="s">
        <v>462</v>
      </c>
      <c r="B426" s="1" t="s">
        <v>463</v>
      </c>
      <c r="C426" s="1" t="s">
        <v>464</v>
      </c>
      <c r="D426" s="1" t="s">
        <v>357</v>
      </c>
      <c r="E426" s="1" t="s">
        <v>2786</v>
      </c>
      <c r="F426" s="1" t="str">
        <f>"62223    "</f>
        <v xml:space="preserve">62223    </v>
      </c>
      <c r="G426" s="1" t="str">
        <f>"8003484512"</f>
        <v>8003484512</v>
      </c>
      <c r="H426" s="1" t="s">
        <v>2637</v>
      </c>
    </row>
    <row r="427" spans="1:8" x14ac:dyDescent="0.25">
      <c r="A427" s="1" t="s">
        <v>3015</v>
      </c>
      <c r="B427" s="1" t="s">
        <v>3016</v>
      </c>
      <c r="C427" s="1" t="s">
        <v>3017</v>
      </c>
      <c r="D427" s="1" t="s">
        <v>2901</v>
      </c>
      <c r="E427" s="1" t="s">
        <v>2902</v>
      </c>
      <c r="F427" s="1" t="str">
        <f>"55440    "</f>
        <v xml:space="preserve">55440    </v>
      </c>
      <c r="G427" s="1" t="str">
        <f>"8003716561"</f>
        <v>8003716561</v>
      </c>
      <c r="H427" s="1" t="s">
        <v>2637</v>
      </c>
    </row>
    <row r="428" spans="1:8" x14ac:dyDescent="0.25">
      <c r="A428" s="1" t="str">
        <f>"834  "</f>
        <v xml:space="preserve">834  </v>
      </c>
      <c r="B428" s="1" t="s">
        <v>1728</v>
      </c>
      <c r="C428" s="1" t="s">
        <v>1729</v>
      </c>
      <c r="D428" s="1" t="s">
        <v>2433</v>
      </c>
      <c r="E428" s="1" t="s">
        <v>2773</v>
      </c>
      <c r="F428" s="1" t="str">
        <f>"14226    "</f>
        <v xml:space="preserve">14226    </v>
      </c>
      <c r="G428" s="1" t="str">
        <f>"8663334648"</f>
        <v>8663334648</v>
      </c>
      <c r="H428" s="1" t="s">
        <v>1730</v>
      </c>
    </row>
    <row r="429" spans="1:8" x14ac:dyDescent="0.25">
      <c r="A429" s="1" t="str">
        <f>"500  "</f>
        <v xml:space="preserve">500  </v>
      </c>
      <c r="B429" s="1" t="s">
        <v>1798</v>
      </c>
      <c r="C429" s="1" t="s">
        <v>1799</v>
      </c>
      <c r="D429" s="1" t="s">
        <v>2052</v>
      </c>
      <c r="E429" s="1" t="s">
        <v>2681</v>
      </c>
      <c r="F429" s="1" t="str">
        <f>"30023    "</f>
        <v xml:space="preserve">30023    </v>
      </c>
      <c r="G429" s="1" t="str">
        <f>"8005212651"</f>
        <v>8005212651</v>
      </c>
      <c r="H429" s="1" t="s">
        <v>2637</v>
      </c>
    </row>
    <row r="430" spans="1:8" x14ac:dyDescent="0.25">
      <c r="A430" s="1" t="s">
        <v>991</v>
      </c>
      <c r="B430" s="1" t="s">
        <v>992</v>
      </c>
      <c r="C430" s="1" t="s">
        <v>993</v>
      </c>
      <c r="D430" s="1" t="s">
        <v>2755</v>
      </c>
      <c r="E430" s="1" t="s">
        <v>2647</v>
      </c>
      <c r="F430" s="1" t="str">
        <f>"20848    "</f>
        <v xml:space="preserve">20848    </v>
      </c>
      <c r="G430" s="1" t="str">
        <f>"8004459090"</f>
        <v>8004459090</v>
      </c>
      <c r="H430" s="1" t="s">
        <v>2637</v>
      </c>
    </row>
    <row r="431" spans="1:8" x14ac:dyDescent="0.25">
      <c r="A431" s="1" t="str">
        <f>"901  "</f>
        <v xml:space="preserve">901  </v>
      </c>
      <c r="B431" s="1" t="s">
        <v>880</v>
      </c>
      <c r="C431" s="1" t="str">
        <f>"100 CROWNE POINT PLACE                            "</f>
        <v xml:space="preserve">100 CROWNE POINT PLACE                            </v>
      </c>
      <c r="D431" s="1" t="s">
        <v>3070</v>
      </c>
      <c r="E431" s="1" t="s">
        <v>2714</v>
      </c>
      <c r="F431" s="1" t="str">
        <f>"45241    "</f>
        <v xml:space="preserve">45241    </v>
      </c>
      <c r="G431" s="1" t="str">
        <f>"8003679466"</f>
        <v>8003679466</v>
      </c>
      <c r="H431" s="1" t="s">
        <v>2637</v>
      </c>
    </row>
    <row r="432" spans="1:8" x14ac:dyDescent="0.25">
      <c r="A432" s="1" t="str">
        <f>"858  "</f>
        <v xml:space="preserve">858  </v>
      </c>
      <c r="B432" s="1" t="s">
        <v>664</v>
      </c>
      <c r="C432" s="1" t="s">
        <v>665</v>
      </c>
      <c r="D432" s="1" t="s">
        <v>2701</v>
      </c>
      <c r="E432" s="1" t="s">
        <v>2660</v>
      </c>
      <c r="F432" s="1" t="str">
        <f>"29202    "</f>
        <v xml:space="preserve">29202    </v>
      </c>
      <c r="G432" s="1" t="str">
        <f>"8003076553"</f>
        <v>8003076553</v>
      </c>
      <c r="H432" s="1" t="s">
        <v>666</v>
      </c>
    </row>
    <row r="433" spans="1:8" x14ac:dyDescent="0.25">
      <c r="A433" s="1" t="str">
        <f>"621  "</f>
        <v xml:space="preserve">621  </v>
      </c>
      <c r="B433" s="1" t="s">
        <v>830</v>
      </c>
      <c r="C433" s="1" t="s">
        <v>2637</v>
      </c>
      <c r="D433" s="1" t="s">
        <v>2637</v>
      </c>
      <c r="E433" s="1" t="s">
        <v>2637</v>
      </c>
      <c r="F433" s="1" t="s">
        <v>2637</v>
      </c>
      <c r="G433" s="1" t="s">
        <v>2637</v>
      </c>
      <c r="H433" s="1" t="s">
        <v>2637</v>
      </c>
    </row>
    <row r="434" spans="1:8" x14ac:dyDescent="0.25">
      <c r="A434" s="1" t="str">
        <f>"179  "</f>
        <v xml:space="preserve">179  </v>
      </c>
      <c r="B434" s="1" t="s">
        <v>1664</v>
      </c>
      <c r="C434" s="1" t="s">
        <v>1665</v>
      </c>
      <c r="D434" s="1" t="s">
        <v>2673</v>
      </c>
      <c r="E434" s="1" t="s">
        <v>2674</v>
      </c>
      <c r="F434" s="1" t="str">
        <f>"84145    "</f>
        <v xml:space="preserve">84145    </v>
      </c>
      <c r="G434" s="1" t="str">
        <f>"8007773622"</f>
        <v>8007773622</v>
      </c>
      <c r="H434" s="1" t="s">
        <v>2637</v>
      </c>
    </row>
    <row r="435" spans="1:8" x14ac:dyDescent="0.25">
      <c r="A435" s="1" t="str">
        <f>"450  "</f>
        <v xml:space="preserve">450  </v>
      </c>
      <c r="B435" s="1" t="s">
        <v>849</v>
      </c>
      <c r="C435" s="1" t="s">
        <v>850</v>
      </c>
      <c r="D435" s="1" t="s">
        <v>2673</v>
      </c>
      <c r="E435" s="1" t="s">
        <v>2674</v>
      </c>
      <c r="F435" s="1" t="str">
        <f>"841450530"</f>
        <v>841450530</v>
      </c>
      <c r="G435" s="1" t="str">
        <f>"8772200110"</f>
        <v>8772200110</v>
      </c>
      <c r="H435" s="1" t="s">
        <v>2795</v>
      </c>
    </row>
    <row r="436" spans="1:8" x14ac:dyDescent="0.25">
      <c r="A436" s="1" t="str">
        <f>"955  "</f>
        <v xml:space="preserve">955  </v>
      </c>
      <c r="B436" s="1" t="s">
        <v>1851</v>
      </c>
      <c r="C436" s="1" t="str">
        <f>"2814 SPRING RD. STE. 122                          "</f>
        <v xml:space="preserve">2814 SPRING RD. STE. 122                          </v>
      </c>
      <c r="D436" s="1" t="s">
        <v>2717</v>
      </c>
      <c r="E436" s="1" t="s">
        <v>2681</v>
      </c>
      <c r="F436" s="1" t="str">
        <f>"30339    "</f>
        <v xml:space="preserve">30339    </v>
      </c>
      <c r="G436" s="1" t="str">
        <f>"8006165709"</f>
        <v>8006165709</v>
      </c>
      <c r="H436" s="1" t="s">
        <v>2648</v>
      </c>
    </row>
    <row r="437" spans="1:8" x14ac:dyDescent="0.25">
      <c r="A437" s="1" t="str">
        <f>"611  "</f>
        <v xml:space="preserve">611  </v>
      </c>
      <c r="B437" s="1" t="s">
        <v>1315</v>
      </c>
      <c r="C437" s="1" t="s">
        <v>2637</v>
      </c>
      <c r="D437" s="1" t="s">
        <v>2637</v>
      </c>
      <c r="E437" s="1" t="s">
        <v>2637</v>
      </c>
      <c r="F437" s="1" t="s">
        <v>2637</v>
      </c>
      <c r="G437" s="1" t="s">
        <v>2637</v>
      </c>
      <c r="H437" s="1" t="s">
        <v>2637</v>
      </c>
    </row>
    <row r="438" spans="1:8" x14ac:dyDescent="0.25">
      <c r="A438" s="1" t="str">
        <f>"610  "</f>
        <v xml:space="preserve">610  </v>
      </c>
      <c r="B438" s="1" t="s">
        <v>1922</v>
      </c>
      <c r="C438" s="1" t="s">
        <v>2637</v>
      </c>
      <c r="D438" s="1" t="s">
        <v>2637</v>
      </c>
      <c r="E438" s="1" t="s">
        <v>2637</v>
      </c>
      <c r="F438" s="1" t="s">
        <v>2637</v>
      </c>
      <c r="G438" s="1" t="s">
        <v>2637</v>
      </c>
      <c r="H438" s="1" t="s">
        <v>2637</v>
      </c>
    </row>
    <row r="439" spans="1:8" x14ac:dyDescent="0.25">
      <c r="A439" s="1" t="str">
        <f>"629  "</f>
        <v xml:space="preserve">629  </v>
      </c>
      <c r="B439" s="1" t="s">
        <v>18</v>
      </c>
      <c r="C439" s="1" t="str">
        <f>"-                                                 "</f>
        <v xml:space="preserve">-                                                 </v>
      </c>
      <c r="D439" s="1" t="str">
        <f>"-                                      "</f>
        <v xml:space="preserve">-                                      </v>
      </c>
      <c r="E439" s="1" t="str">
        <f>"- "</f>
        <v xml:space="preserve">- </v>
      </c>
      <c r="F439" s="1" t="str">
        <f>"-----    "</f>
        <v xml:space="preserve">-----    </v>
      </c>
      <c r="G439" s="1" t="s">
        <v>2637</v>
      </c>
      <c r="H439" s="1" t="s">
        <v>2637</v>
      </c>
    </row>
    <row r="440" spans="1:8" x14ac:dyDescent="0.25">
      <c r="A440" s="1" t="str">
        <f>"627  "</f>
        <v xml:space="preserve">627  </v>
      </c>
      <c r="B440" s="1" t="s">
        <v>50</v>
      </c>
      <c r="C440" s="1" t="str">
        <f>"-                                                 "</f>
        <v xml:space="preserve">-                                                 </v>
      </c>
      <c r="D440" s="1" t="str">
        <f>"-                                      "</f>
        <v xml:space="preserve">-                                      </v>
      </c>
      <c r="E440" s="1" t="str">
        <f>"- "</f>
        <v xml:space="preserve">- </v>
      </c>
      <c r="F440" s="1" t="str">
        <f>"-----    "</f>
        <v xml:space="preserve">-----    </v>
      </c>
      <c r="G440" s="1" t="s">
        <v>2637</v>
      </c>
      <c r="H440" s="1" t="s">
        <v>2637</v>
      </c>
    </row>
    <row r="441" spans="1:8" x14ac:dyDescent="0.25">
      <c r="A441" s="1" t="str">
        <f>"628  "</f>
        <v xml:space="preserve">628  </v>
      </c>
      <c r="B441" s="1" t="s">
        <v>425</v>
      </c>
      <c r="C441" s="1" t="str">
        <f>"-                                                 "</f>
        <v xml:space="preserve">-                                                 </v>
      </c>
      <c r="D441" s="1" t="str">
        <f>"-                                      "</f>
        <v xml:space="preserve">-                                      </v>
      </c>
      <c r="E441" s="1" t="str">
        <f>"- "</f>
        <v xml:space="preserve">- </v>
      </c>
      <c r="F441" s="1" t="str">
        <f>"-----    "</f>
        <v xml:space="preserve">-----    </v>
      </c>
      <c r="G441" s="1" t="s">
        <v>2637</v>
      </c>
      <c r="H441" s="1" t="s">
        <v>2637</v>
      </c>
    </row>
    <row r="442" spans="1:8" x14ac:dyDescent="0.25">
      <c r="A442" s="1" t="str">
        <f>"613  "</f>
        <v xml:space="preserve">613  </v>
      </c>
      <c r="B442" s="1" t="s">
        <v>705</v>
      </c>
      <c r="C442" s="1" t="s">
        <v>2637</v>
      </c>
      <c r="D442" s="1" t="s">
        <v>2637</v>
      </c>
      <c r="E442" s="1" t="s">
        <v>2637</v>
      </c>
      <c r="F442" s="1" t="s">
        <v>2637</v>
      </c>
      <c r="G442" s="1" t="s">
        <v>2637</v>
      </c>
      <c r="H442" s="1" t="s">
        <v>2637</v>
      </c>
    </row>
    <row r="443" spans="1:8" x14ac:dyDescent="0.25">
      <c r="A443" s="1" t="str">
        <f>"612  "</f>
        <v xml:space="preserve">612  </v>
      </c>
      <c r="B443" s="1" t="s">
        <v>132</v>
      </c>
      <c r="C443" s="1" t="s">
        <v>2637</v>
      </c>
      <c r="D443" s="1" t="s">
        <v>2637</v>
      </c>
      <c r="E443" s="1" t="s">
        <v>2637</v>
      </c>
      <c r="F443" s="1" t="s">
        <v>2637</v>
      </c>
      <c r="G443" s="1" t="s">
        <v>2637</v>
      </c>
      <c r="H443" s="1" t="s">
        <v>2637</v>
      </c>
    </row>
    <row r="444" spans="1:8" x14ac:dyDescent="0.25">
      <c r="A444" s="1" t="str">
        <f>"625  "</f>
        <v xml:space="preserve">625  </v>
      </c>
      <c r="B444" s="1" t="s">
        <v>2622</v>
      </c>
      <c r="C444" s="1" t="s">
        <v>2637</v>
      </c>
      <c r="D444" s="1" t="s">
        <v>2637</v>
      </c>
      <c r="E444" s="1" t="s">
        <v>2637</v>
      </c>
      <c r="F444" s="1" t="s">
        <v>2637</v>
      </c>
      <c r="G444" s="1" t="s">
        <v>2637</v>
      </c>
      <c r="H444" s="1" t="s">
        <v>2637</v>
      </c>
    </row>
    <row r="445" spans="1:8" x14ac:dyDescent="0.25">
      <c r="A445" s="1" t="str">
        <f>"626  "</f>
        <v xml:space="preserve">626  </v>
      </c>
      <c r="B445" s="1" t="s">
        <v>493</v>
      </c>
      <c r="C445" s="1" t="s">
        <v>2637</v>
      </c>
      <c r="D445" s="1" t="s">
        <v>2637</v>
      </c>
      <c r="E445" s="1" t="s">
        <v>2637</v>
      </c>
      <c r="F445" s="1" t="s">
        <v>2637</v>
      </c>
      <c r="G445" s="1" t="s">
        <v>2637</v>
      </c>
      <c r="H445" s="1" t="s">
        <v>2637</v>
      </c>
    </row>
    <row r="446" spans="1:8" x14ac:dyDescent="0.25">
      <c r="A446" s="1" t="str">
        <f>"615  "</f>
        <v xml:space="preserve">615  </v>
      </c>
      <c r="B446" s="1" t="s">
        <v>2426</v>
      </c>
      <c r="C446" s="1" t="s">
        <v>2637</v>
      </c>
      <c r="D446" s="1" t="s">
        <v>2637</v>
      </c>
      <c r="E446" s="1" t="s">
        <v>2637</v>
      </c>
      <c r="F446" s="1" t="s">
        <v>2637</v>
      </c>
      <c r="G446" s="1" t="s">
        <v>2637</v>
      </c>
      <c r="H446" s="1" t="s">
        <v>2637</v>
      </c>
    </row>
    <row r="447" spans="1:8" x14ac:dyDescent="0.25">
      <c r="A447" s="1" t="str">
        <f>"630  "</f>
        <v xml:space="preserve">630  </v>
      </c>
      <c r="B447" s="1" t="s">
        <v>213</v>
      </c>
      <c r="C447" s="1" t="str">
        <f>"-                                                 "</f>
        <v xml:space="preserve">-                                                 </v>
      </c>
      <c r="D447" s="1" t="str">
        <f>"-                                      "</f>
        <v xml:space="preserve">-                                      </v>
      </c>
      <c r="E447" s="1" t="str">
        <f>"- "</f>
        <v xml:space="preserve">- </v>
      </c>
      <c r="F447" s="1" t="str">
        <f>"-----    "</f>
        <v xml:space="preserve">-----    </v>
      </c>
      <c r="G447" s="1" t="s">
        <v>2637</v>
      </c>
      <c r="H447" s="1" t="s">
        <v>2637</v>
      </c>
    </row>
    <row r="448" spans="1:8" x14ac:dyDescent="0.25">
      <c r="A448" s="1" t="str">
        <f>"725  "</f>
        <v xml:space="preserve">725  </v>
      </c>
      <c r="B448" s="1" t="s">
        <v>136</v>
      </c>
      <c r="C448" s="1" t="str">
        <f>"203 FREEMONT AVENUE                               "</f>
        <v xml:space="preserve">203 FREEMONT AVENUE                               </v>
      </c>
      <c r="D448" s="1" t="s">
        <v>2616</v>
      </c>
      <c r="E448" s="1" t="s">
        <v>2660</v>
      </c>
      <c r="F448" s="1" t="str">
        <f>"29303    "</f>
        <v xml:space="preserve">29303    </v>
      </c>
      <c r="G448" s="1" t="str">
        <f>"8645852046"</f>
        <v>8645852046</v>
      </c>
      <c r="H448" s="1" t="s">
        <v>2637</v>
      </c>
    </row>
    <row r="449" spans="1:8" x14ac:dyDescent="0.25">
      <c r="A449" s="1" t="str">
        <f>"554  "</f>
        <v xml:space="preserve">554  </v>
      </c>
      <c r="B449" s="1" t="s">
        <v>613</v>
      </c>
      <c r="C449" s="1" t="s">
        <v>614</v>
      </c>
      <c r="D449" s="1" t="s">
        <v>2710</v>
      </c>
      <c r="E449" s="1" t="s">
        <v>2970</v>
      </c>
      <c r="F449" s="1" t="str">
        <f>"37744    "</f>
        <v xml:space="preserve">37744    </v>
      </c>
      <c r="G449" s="1" t="str">
        <f>"4236396145"</f>
        <v>4236396145</v>
      </c>
      <c r="H449" s="1" t="s">
        <v>2637</v>
      </c>
    </row>
    <row r="450" spans="1:8" x14ac:dyDescent="0.25">
      <c r="A450" s="1" t="str">
        <f>"666  "</f>
        <v xml:space="preserve">666  </v>
      </c>
      <c r="B450" s="1" t="s">
        <v>2945</v>
      </c>
      <c r="C450" s="1" t="str">
        <f>"-                                                 "</f>
        <v xml:space="preserve">-                                                 </v>
      </c>
      <c r="D450" s="1" t="str">
        <f>"-                                      "</f>
        <v xml:space="preserve">-                                      </v>
      </c>
      <c r="E450" s="1" t="str">
        <f>"- "</f>
        <v xml:space="preserve">- </v>
      </c>
      <c r="F450" s="1" t="str">
        <f>"-        "</f>
        <v xml:space="preserve">-        </v>
      </c>
      <c r="G450" s="1" t="s">
        <v>2637</v>
      </c>
      <c r="H450" s="1" t="s">
        <v>2637</v>
      </c>
    </row>
    <row r="451" spans="1:8" x14ac:dyDescent="0.25">
      <c r="A451" s="1" t="str">
        <f>"707  "</f>
        <v xml:space="preserve">707  </v>
      </c>
      <c r="B451" s="1" t="s">
        <v>390</v>
      </c>
      <c r="C451" s="1" t="str">
        <f>"1019 TITAN RD                                     "</f>
        <v xml:space="preserve">1019 TITAN RD                                     </v>
      </c>
      <c r="D451" s="1" t="s">
        <v>391</v>
      </c>
      <c r="E451" s="1" t="s">
        <v>2660</v>
      </c>
      <c r="F451" s="1" t="str">
        <f>"29536    "</f>
        <v xml:space="preserve">29536    </v>
      </c>
      <c r="G451" s="1" t="str">
        <f>"8437747353"</f>
        <v>8437747353</v>
      </c>
      <c r="H451" s="1" t="s">
        <v>2637</v>
      </c>
    </row>
    <row r="452" spans="1:8" x14ac:dyDescent="0.25">
      <c r="A452" s="1" t="str">
        <f>"516  "</f>
        <v xml:space="preserve">516  </v>
      </c>
      <c r="B452" s="1" t="s">
        <v>2353</v>
      </c>
      <c r="C452" s="1" t="str">
        <f>"1111 ALDERMAN DR SUITE 420                        "</f>
        <v xml:space="preserve">1111 ALDERMAN DR SUITE 420                        </v>
      </c>
      <c r="D452" s="1" t="s">
        <v>2052</v>
      </c>
      <c r="E452" s="1" t="s">
        <v>2681</v>
      </c>
      <c r="F452" s="1" t="str">
        <f>"30202    "</f>
        <v xml:space="preserve">30202    </v>
      </c>
      <c r="G452" s="1" t="str">
        <f>"7706645594"</f>
        <v>7706645594</v>
      </c>
      <c r="H452" s="1" t="s">
        <v>2637</v>
      </c>
    </row>
    <row r="453" spans="1:8" x14ac:dyDescent="0.25">
      <c r="A453" s="1" t="str">
        <f>"258  "</f>
        <v xml:space="preserve">258  </v>
      </c>
      <c r="B453" s="1" t="s">
        <v>1735</v>
      </c>
      <c r="C453" s="1" t="s">
        <v>1736</v>
      </c>
      <c r="D453" s="1" t="s">
        <v>1737</v>
      </c>
      <c r="E453" s="1" t="s">
        <v>2952</v>
      </c>
      <c r="F453" s="1" t="str">
        <f>"06447    "</f>
        <v xml:space="preserve">06447    </v>
      </c>
      <c r="G453" s="1" t="str">
        <f>"8883222524"</f>
        <v>8883222524</v>
      </c>
      <c r="H453" s="1" t="s">
        <v>2637</v>
      </c>
    </row>
    <row r="454" spans="1:8" x14ac:dyDescent="0.25">
      <c r="A454" s="1" t="str">
        <f>"474  "</f>
        <v xml:space="preserve">474  </v>
      </c>
      <c r="B454" s="1" t="s">
        <v>1767</v>
      </c>
      <c r="C454" s="1" t="s">
        <v>1768</v>
      </c>
      <c r="D454" s="1" t="s">
        <v>1769</v>
      </c>
      <c r="E454" s="1" t="s">
        <v>2902</v>
      </c>
      <c r="F454" s="1" t="str">
        <f>"55816    "</f>
        <v xml:space="preserve">55816    </v>
      </c>
      <c r="G454" s="1" t="str">
        <f>"8002338065"</f>
        <v>8002338065</v>
      </c>
      <c r="H454" s="1" t="s">
        <v>1770</v>
      </c>
    </row>
    <row r="455" spans="1:8" x14ac:dyDescent="0.25">
      <c r="A455" s="1" t="str">
        <f>"667  "</f>
        <v xml:space="preserve">667  </v>
      </c>
      <c r="B455" s="1" t="s">
        <v>1145</v>
      </c>
      <c r="C455" s="1" t="str">
        <f>"-                                                 "</f>
        <v xml:space="preserve">-                                                 </v>
      </c>
      <c r="D455" s="1" t="str">
        <f>"-                                      "</f>
        <v xml:space="preserve">-                                      </v>
      </c>
      <c r="E455" s="1" t="str">
        <f>"- "</f>
        <v xml:space="preserve">- </v>
      </c>
      <c r="F455" s="1" t="str">
        <f>"-        "</f>
        <v xml:space="preserve">-        </v>
      </c>
      <c r="G455" s="1" t="s">
        <v>2637</v>
      </c>
      <c r="H455" s="1" t="s">
        <v>2637</v>
      </c>
    </row>
    <row r="456" spans="1:8" x14ac:dyDescent="0.25">
      <c r="A456" s="1" t="str">
        <f>"849  "</f>
        <v xml:space="preserve">849  </v>
      </c>
      <c r="B456" s="1" t="s">
        <v>517</v>
      </c>
      <c r="C456" s="1" t="s">
        <v>518</v>
      </c>
      <c r="D456" s="1" t="s">
        <v>2118</v>
      </c>
      <c r="E456" s="1" t="s">
        <v>2809</v>
      </c>
      <c r="F456" s="1" t="str">
        <f>"85285    "</f>
        <v xml:space="preserve">85285    </v>
      </c>
      <c r="G456" s="1" t="str">
        <f>"8884568417"</f>
        <v>8884568417</v>
      </c>
      <c r="H456" s="1" t="s">
        <v>2637</v>
      </c>
    </row>
    <row r="457" spans="1:8" x14ac:dyDescent="0.25">
      <c r="A457" s="1" t="str">
        <f>"567  "</f>
        <v xml:space="preserve">567  </v>
      </c>
      <c r="B457" s="1" t="s">
        <v>1355</v>
      </c>
      <c r="C457" s="1" t="str">
        <f>"200 FREEWAY DR. E.                                "</f>
        <v xml:space="preserve">200 FREEWAY DR. E.                                </v>
      </c>
      <c r="D457" s="1" t="s">
        <v>1356</v>
      </c>
      <c r="E457" s="1" t="s">
        <v>2821</v>
      </c>
      <c r="F457" s="1" t="str">
        <f>"07018    "</f>
        <v xml:space="preserve">07018    </v>
      </c>
      <c r="G457" s="1" t="str">
        <f>"8005240227"</f>
        <v>8005240227</v>
      </c>
      <c r="H457" s="1" t="s">
        <v>2637</v>
      </c>
    </row>
    <row r="458" spans="1:8" x14ac:dyDescent="0.25">
      <c r="A458" s="1" t="s">
        <v>2693</v>
      </c>
      <c r="B458" s="1" t="s">
        <v>2694</v>
      </c>
      <c r="C458" s="1" t="s">
        <v>2695</v>
      </c>
      <c r="D458" s="1" t="s">
        <v>2696</v>
      </c>
      <c r="E458" s="1" t="s">
        <v>2697</v>
      </c>
      <c r="F458" s="1" t="str">
        <f>"17605    "</f>
        <v xml:space="preserve">17605    </v>
      </c>
      <c r="G458" s="1" t="str">
        <f>"8002330307"</f>
        <v>8002330307</v>
      </c>
      <c r="H458" s="1" t="s">
        <v>2637</v>
      </c>
    </row>
    <row r="459" spans="1:8" x14ac:dyDescent="0.25">
      <c r="A459" s="1" t="s">
        <v>1543</v>
      </c>
      <c r="B459" s="1" t="s">
        <v>1544</v>
      </c>
      <c r="C459" s="1" t="str">
        <f>"2045 MIDWAY DR                                    "</f>
        <v xml:space="preserve">2045 MIDWAY DR                                    </v>
      </c>
      <c r="D459" s="1" t="s">
        <v>2997</v>
      </c>
      <c r="E459" s="1" t="s">
        <v>2714</v>
      </c>
      <c r="F459" s="1" t="str">
        <f>"44087    "</f>
        <v xml:space="preserve">44087    </v>
      </c>
      <c r="G459" s="1" t="str">
        <f>"8008007153"</f>
        <v>8008007153</v>
      </c>
      <c r="H459" s="1" t="s">
        <v>2637</v>
      </c>
    </row>
    <row r="460" spans="1:8" x14ac:dyDescent="0.25">
      <c r="A460" s="1" t="str">
        <f>"668  "</f>
        <v xml:space="preserve">668  </v>
      </c>
      <c r="B460" s="1" t="s">
        <v>1761</v>
      </c>
      <c r="C460" s="1" t="str">
        <f>"-                                                 "</f>
        <v xml:space="preserve">-                                                 </v>
      </c>
      <c r="D460" s="1" t="str">
        <f>"-                                      "</f>
        <v xml:space="preserve">-                                      </v>
      </c>
      <c r="E460" s="1" t="str">
        <f>"- "</f>
        <v xml:space="preserve">- </v>
      </c>
      <c r="F460" s="1" t="str">
        <f>"-        "</f>
        <v xml:space="preserve">-        </v>
      </c>
      <c r="G460" s="1" t="s">
        <v>2637</v>
      </c>
      <c r="H460" s="1" t="s">
        <v>2637</v>
      </c>
    </row>
    <row r="461" spans="1:8" x14ac:dyDescent="0.25">
      <c r="A461" s="1" t="str">
        <f>"137  "</f>
        <v xml:space="preserve">137  </v>
      </c>
      <c r="B461" s="1" t="s">
        <v>807</v>
      </c>
      <c r="C461" s="1" t="s">
        <v>808</v>
      </c>
      <c r="D461" s="1" t="s">
        <v>2696</v>
      </c>
      <c r="E461" s="1" t="s">
        <v>2697</v>
      </c>
      <c r="F461" s="1" t="str">
        <f>"17601    "</f>
        <v xml:space="preserve">17601    </v>
      </c>
      <c r="G461" s="1" t="str">
        <f>"7173972751"</f>
        <v>7173972751</v>
      </c>
      <c r="H461" s="1" t="s">
        <v>2637</v>
      </c>
    </row>
    <row r="462" spans="1:8" x14ac:dyDescent="0.25">
      <c r="A462" s="1" t="s">
        <v>1694</v>
      </c>
      <c r="B462" s="1" t="s">
        <v>1695</v>
      </c>
      <c r="C462" s="1" t="s">
        <v>1696</v>
      </c>
      <c r="D462" s="1" t="s">
        <v>2652</v>
      </c>
      <c r="E462" s="1" t="s">
        <v>2647</v>
      </c>
      <c r="F462" s="1" t="str">
        <f>"21223    "</f>
        <v xml:space="preserve">21223    </v>
      </c>
      <c r="G462" s="1" t="str">
        <f>"8887768851"</f>
        <v>8887768851</v>
      </c>
      <c r="H462" s="1" t="s">
        <v>2760</v>
      </c>
    </row>
    <row r="463" spans="1:8" x14ac:dyDescent="0.25">
      <c r="A463" s="1" t="s">
        <v>2924</v>
      </c>
      <c r="B463" s="1" t="s">
        <v>2925</v>
      </c>
      <c r="C463" s="1" t="s">
        <v>2926</v>
      </c>
      <c r="D463" s="1" t="s">
        <v>2927</v>
      </c>
      <c r="E463" s="1" t="s">
        <v>2773</v>
      </c>
      <c r="F463" s="1" t="str">
        <f>"11219    "</f>
        <v xml:space="preserve">11219    </v>
      </c>
      <c r="G463" s="1" t="str">
        <f>"7189218818"</f>
        <v>7189218818</v>
      </c>
      <c r="H463" s="1" t="s">
        <v>2928</v>
      </c>
    </row>
    <row r="464" spans="1:8" x14ac:dyDescent="0.25">
      <c r="A464" s="1" t="s">
        <v>198</v>
      </c>
      <c r="B464" s="1" t="s">
        <v>199</v>
      </c>
      <c r="C464" s="1" t="s">
        <v>200</v>
      </c>
      <c r="D464" s="1" t="s">
        <v>2772</v>
      </c>
      <c r="E464" s="1" t="s">
        <v>2773</v>
      </c>
      <c r="F464" s="1" t="str">
        <f>"10116    "</f>
        <v xml:space="preserve">10116    </v>
      </c>
      <c r="G464" s="1" t="str">
        <f>"2125014444"</f>
        <v>2125014444</v>
      </c>
      <c r="H464" s="1" t="s">
        <v>2637</v>
      </c>
    </row>
    <row r="465" spans="1:8" x14ac:dyDescent="0.25">
      <c r="A465" s="1" t="s">
        <v>658</v>
      </c>
      <c r="B465" s="1" t="s">
        <v>659</v>
      </c>
      <c r="C465" s="1" t="s">
        <v>660</v>
      </c>
      <c r="D465" s="1" t="s">
        <v>2772</v>
      </c>
      <c r="E465" s="1" t="s">
        <v>2773</v>
      </c>
      <c r="F465" s="1" t="str">
        <f>"10008    "</f>
        <v xml:space="preserve">10008    </v>
      </c>
      <c r="G465" s="1" t="str">
        <f>"8003429816"</f>
        <v>8003429816</v>
      </c>
      <c r="H465" s="1" t="s">
        <v>2637</v>
      </c>
    </row>
    <row r="466" spans="1:8" x14ac:dyDescent="0.25">
      <c r="A466" s="1" t="s">
        <v>2149</v>
      </c>
      <c r="B466" s="1" t="s">
        <v>2150</v>
      </c>
      <c r="C466" s="1" t="s">
        <v>2151</v>
      </c>
      <c r="D466" s="1" t="s">
        <v>2701</v>
      </c>
      <c r="E466" s="1" t="s">
        <v>2660</v>
      </c>
      <c r="F466" s="1" t="str">
        <f>"29204    "</f>
        <v xml:space="preserve">29204    </v>
      </c>
      <c r="G466" s="1" t="str">
        <f>"8037888562"</f>
        <v>8037888562</v>
      </c>
      <c r="H466" s="1" t="s">
        <v>2795</v>
      </c>
    </row>
    <row r="467" spans="1:8" x14ac:dyDescent="0.25">
      <c r="A467" s="1" t="s">
        <v>2549</v>
      </c>
      <c r="B467" s="1" t="s">
        <v>2550</v>
      </c>
      <c r="C467" s="1" t="s">
        <v>2551</v>
      </c>
      <c r="D467" s="1" t="s">
        <v>2710</v>
      </c>
      <c r="E467" s="1" t="s">
        <v>2660</v>
      </c>
      <c r="F467" s="1" t="str">
        <f>"29606    "</f>
        <v xml:space="preserve">29606    </v>
      </c>
      <c r="G467" s="1" t="str">
        <f>"8642356474"</f>
        <v>8642356474</v>
      </c>
      <c r="H467" s="1" t="s">
        <v>2637</v>
      </c>
    </row>
    <row r="468" spans="1:8" x14ac:dyDescent="0.25">
      <c r="A468" s="1" t="s">
        <v>1995</v>
      </c>
      <c r="B468" s="1" t="s">
        <v>1996</v>
      </c>
      <c r="C468" s="1" t="str">
        <f>"9501 WEST DEVON                                   "</f>
        <v xml:space="preserve">9501 WEST DEVON                                   </v>
      </c>
      <c r="D468" s="1" t="s">
        <v>1997</v>
      </c>
      <c r="E468" s="1" t="s">
        <v>2786</v>
      </c>
      <c r="F468" s="1" t="str">
        <f>"60018    "</f>
        <v xml:space="preserve">60018    </v>
      </c>
      <c r="G468" s="1" t="str">
        <f>"3126963660"</f>
        <v>3126963660</v>
      </c>
      <c r="H468" s="1" t="s">
        <v>2637</v>
      </c>
    </row>
    <row r="469" spans="1:8" x14ac:dyDescent="0.25">
      <c r="A469" s="1" t="str">
        <f>"499  "</f>
        <v xml:space="preserve">499  </v>
      </c>
      <c r="B469" s="1" t="s">
        <v>214</v>
      </c>
      <c r="C469" s="1" t="s">
        <v>215</v>
      </c>
      <c r="D469" s="1" t="s">
        <v>216</v>
      </c>
      <c r="E469" s="1" t="s">
        <v>2714</v>
      </c>
      <c r="F469" s="1" t="str">
        <f>"45839    "</f>
        <v xml:space="preserve">45839    </v>
      </c>
      <c r="G469" s="1" t="str">
        <f>"8005587798"</f>
        <v>8005587798</v>
      </c>
      <c r="H469" s="1" t="s">
        <v>2637</v>
      </c>
    </row>
    <row r="470" spans="1:8" x14ac:dyDescent="0.25">
      <c r="A470" s="1" t="str">
        <f>"869  "</f>
        <v xml:space="preserve">869  </v>
      </c>
      <c r="B470" s="1" t="s">
        <v>3135</v>
      </c>
      <c r="C470" s="1" t="s">
        <v>3136</v>
      </c>
      <c r="D470" s="1" t="s">
        <v>3137</v>
      </c>
      <c r="E470" s="1" t="s">
        <v>3138</v>
      </c>
      <c r="F470" s="1" t="str">
        <f>"59104    "</f>
        <v xml:space="preserve">59104    </v>
      </c>
      <c r="G470" s="1" t="str">
        <f>"8007773575"</f>
        <v>8007773575</v>
      </c>
      <c r="H470" s="1" t="s">
        <v>2637</v>
      </c>
    </row>
    <row r="471" spans="1:8" x14ac:dyDescent="0.25">
      <c r="A471" s="1" t="str">
        <f>"506  "</f>
        <v xml:space="preserve">506  </v>
      </c>
      <c r="B471" s="1" t="s">
        <v>1246</v>
      </c>
      <c r="C471" s="1" t="s">
        <v>1247</v>
      </c>
      <c r="D471" s="1" t="s">
        <v>1248</v>
      </c>
      <c r="E471" s="1" t="s">
        <v>3226</v>
      </c>
      <c r="F471" s="1" t="str">
        <f>"03842    "</f>
        <v xml:space="preserve">03842    </v>
      </c>
      <c r="G471" s="1" t="str">
        <f>"8002587298"</f>
        <v>8002587298</v>
      </c>
      <c r="H471" s="1" t="s">
        <v>2637</v>
      </c>
    </row>
    <row r="472" spans="1:8" x14ac:dyDescent="0.25">
      <c r="A472" s="1" t="str">
        <f>"446  "</f>
        <v xml:space="preserve">446  </v>
      </c>
      <c r="B472" s="1" t="s">
        <v>264</v>
      </c>
      <c r="C472" s="1" t="s">
        <v>2679</v>
      </c>
      <c r="D472" s="1" t="s">
        <v>2680</v>
      </c>
      <c r="E472" s="1" t="s">
        <v>2681</v>
      </c>
      <c r="F472" s="1" t="str">
        <f>"314120088"</f>
        <v>314120088</v>
      </c>
      <c r="G472" s="1" t="str">
        <f>"8035778051"</f>
        <v>8035778051</v>
      </c>
      <c r="H472" s="1" t="s">
        <v>265</v>
      </c>
    </row>
    <row r="473" spans="1:8" x14ac:dyDescent="0.25">
      <c r="A473" s="1" t="str">
        <f>"345  "</f>
        <v xml:space="preserve">345  </v>
      </c>
      <c r="B473" s="1" t="s">
        <v>2286</v>
      </c>
      <c r="C473" s="1" t="s">
        <v>2287</v>
      </c>
      <c r="D473" s="1" t="s">
        <v>2740</v>
      </c>
      <c r="E473" s="1" t="s">
        <v>2660</v>
      </c>
      <c r="F473" s="1" t="str">
        <f>"29716    "</f>
        <v xml:space="preserve">29716    </v>
      </c>
      <c r="G473" s="1" t="str">
        <f>"8002421510"</f>
        <v>8002421510</v>
      </c>
      <c r="H473" s="1" t="s">
        <v>2637</v>
      </c>
    </row>
    <row r="474" spans="1:8" x14ac:dyDescent="0.25">
      <c r="A474" s="1" t="str">
        <f>"345DN"</f>
        <v>345DN</v>
      </c>
      <c r="B474" s="1" t="s">
        <v>2286</v>
      </c>
      <c r="C474" s="1" t="s">
        <v>2287</v>
      </c>
      <c r="D474" s="1" t="s">
        <v>2740</v>
      </c>
      <c r="E474" s="1" t="s">
        <v>2660</v>
      </c>
      <c r="F474" s="1" t="str">
        <f>"29716    "</f>
        <v xml:space="preserve">29716    </v>
      </c>
      <c r="G474" s="1" t="str">
        <f>"8002421510"</f>
        <v>8002421510</v>
      </c>
      <c r="H474" s="1" t="s">
        <v>2637</v>
      </c>
    </row>
    <row r="475" spans="1:8" x14ac:dyDescent="0.25">
      <c r="A475" s="1" t="str">
        <f>"761  "</f>
        <v xml:space="preserve">761  </v>
      </c>
      <c r="B475" s="1" t="s">
        <v>967</v>
      </c>
      <c r="C475" s="1" t="str">
        <f>"229 EAST MICHIGAN AVE. STE. 235                   "</f>
        <v xml:space="preserve">229 EAST MICHIGAN AVE. STE. 235                   </v>
      </c>
      <c r="D475" s="1" t="s">
        <v>3173</v>
      </c>
      <c r="E475" s="1" t="s">
        <v>2644</v>
      </c>
      <c r="F475" s="1" t="str">
        <f>"49007    "</f>
        <v xml:space="preserve">49007    </v>
      </c>
      <c r="G475" s="1" t="str">
        <f>"8003257477"</f>
        <v>8003257477</v>
      </c>
      <c r="H475" s="1" t="s">
        <v>2637</v>
      </c>
    </row>
    <row r="476" spans="1:8" x14ac:dyDescent="0.25">
      <c r="A476" s="1" t="str">
        <f>"317  "</f>
        <v xml:space="preserve">317  </v>
      </c>
      <c r="B476" s="1" t="s">
        <v>1318</v>
      </c>
      <c r="C476" s="1" t="str">
        <f>"4789 RINGS ROAD                                   "</f>
        <v xml:space="preserve">4789 RINGS ROAD                                   </v>
      </c>
      <c r="D476" s="1" t="s">
        <v>1914</v>
      </c>
      <c r="E476" s="1" t="s">
        <v>2714</v>
      </c>
      <c r="F476" s="1" t="str">
        <f>"43017    "</f>
        <v xml:space="preserve">43017    </v>
      </c>
      <c r="G476" s="1" t="str">
        <f>"8005520455"</f>
        <v>8005520455</v>
      </c>
      <c r="H476" s="1" t="s">
        <v>2637</v>
      </c>
    </row>
    <row r="477" spans="1:8" x14ac:dyDescent="0.25">
      <c r="A477" s="1" t="s">
        <v>583</v>
      </c>
      <c r="B477" s="1" t="s">
        <v>584</v>
      </c>
      <c r="C477" s="1" t="s">
        <v>585</v>
      </c>
      <c r="D477" s="1" t="s">
        <v>586</v>
      </c>
      <c r="E477" s="1" t="s">
        <v>2636</v>
      </c>
      <c r="F477" s="1" t="str">
        <f>"76307    "</f>
        <v xml:space="preserve">76307    </v>
      </c>
      <c r="G477" s="1" t="str">
        <f>"8177617611"</f>
        <v>8177617611</v>
      </c>
      <c r="H477" s="1" t="s">
        <v>587</v>
      </c>
    </row>
    <row r="478" spans="1:8" x14ac:dyDescent="0.25">
      <c r="A478" s="1" t="str">
        <f>"743  "</f>
        <v xml:space="preserve">743  </v>
      </c>
      <c r="B478" s="1" t="s">
        <v>1474</v>
      </c>
      <c r="C478" s="1" t="s">
        <v>1475</v>
      </c>
      <c r="D478" s="1" t="s">
        <v>1476</v>
      </c>
      <c r="E478" s="1" t="s">
        <v>2706</v>
      </c>
      <c r="F478" s="1" t="str">
        <f>"468012362"</f>
        <v>468012362</v>
      </c>
      <c r="G478" s="1" t="str">
        <f>"2606257500"</f>
        <v>2606257500</v>
      </c>
      <c r="H478" s="1" t="s">
        <v>2637</v>
      </c>
    </row>
    <row r="479" spans="1:8" x14ac:dyDescent="0.25">
      <c r="A479" s="1" t="str">
        <f>"550  "</f>
        <v xml:space="preserve">550  </v>
      </c>
      <c r="B479" s="1" t="s">
        <v>661</v>
      </c>
      <c r="C479" s="1" t="str">
        <f>"7125 THOMAS EDISON DR SUITE 105                   "</f>
        <v xml:space="preserve">7125 THOMAS EDISON DR SUITE 105                   </v>
      </c>
      <c r="D479" s="1" t="s">
        <v>2701</v>
      </c>
      <c r="E479" s="1" t="s">
        <v>2647</v>
      </c>
      <c r="F479" s="1" t="str">
        <f>"21046    "</f>
        <v xml:space="preserve">21046    </v>
      </c>
      <c r="G479" s="1" t="str">
        <f>"8006381134"</f>
        <v>8006381134</v>
      </c>
      <c r="H479" s="1" t="s">
        <v>2760</v>
      </c>
    </row>
    <row r="480" spans="1:8" x14ac:dyDescent="0.25">
      <c r="A480" s="1" t="s">
        <v>172</v>
      </c>
      <c r="B480" s="1" t="s">
        <v>173</v>
      </c>
      <c r="C480" s="1" t="str">
        <f>"2180 NORTH LOOP WEST, STE. 400                    "</f>
        <v xml:space="preserve">2180 NORTH LOOP WEST, STE. 400                    </v>
      </c>
      <c r="D480" s="1" t="s">
        <v>2635</v>
      </c>
      <c r="E480" s="1" t="s">
        <v>2636</v>
      </c>
      <c r="F480" s="1" t="str">
        <f>"77018    "</f>
        <v xml:space="preserve">77018    </v>
      </c>
      <c r="G480" s="1" t="str">
        <f>"8004476588"</f>
        <v>8004476588</v>
      </c>
      <c r="H480" s="1" t="s">
        <v>2637</v>
      </c>
    </row>
    <row r="481" spans="1:8" x14ac:dyDescent="0.25">
      <c r="A481" s="1" t="str">
        <f>"247  "</f>
        <v xml:space="preserve">247  </v>
      </c>
      <c r="B481" s="1" t="s">
        <v>2182</v>
      </c>
      <c r="C481" s="1" t="str">
        <f>"5050 SPRING VALLEY ROAD                           "</f>
        <v xml:space="preserve">5050 SPRING VALLEY ROAD                           </v>
      </c>
      <c r="D481" s="1" t="s">
        <v>2871</v>
      </c>
      <c r="E481" s="1" t="s">
        <v>2636</v>
      </c>
      <c r="F481" s="1" t="str">
        <f>"752443909"</f>
        <v>752443909</v>
      </c>
      <c r="G481" s="1" t="str">
        <f>"8008729934"</f>
        <v>8008729934</v>
      </c>
      <c r="H481" s="1" t="s">
        <v>2183</v>
      </c>
    </row>
    <row r="482" spans="1:8" x14ac:dyDescent="0.25">
      <c r="A482" s="1" t="str">
        <f>"130  "</f>
        <v xml:space="preserve">130  </v>
      </c>
      <c r="B482" s="1" t="s">
        <v>1290</v>
      </c>
      <c r="C482" s="1" t="s">
        <v>820</v>
      </c>
      <c r="D482" s="1" t="s">
        <v>2616</v>
      </c>
      <c r="E482" s="1" t="s">
        <v>2660</v>
      </c>
      <c r="F482" s="1" t="str">
        <f>"29304    "</f>
        <v xml:space="preserve">29304    </v>
      </c>
      <c r="G482" s="1" t="str">
        <f>"8889628437"</f>
        <v>8889628437</v>
      </c>
      <c r="H482" s="1" t="s">
        <v>1291</v>
      </c>
    </row>
    <row r="483" spans="1:8" x14ac:dyDescent="0.25">
      <c r="A483" s="1" t="s">
        <v>375</v>
      </c>
      <c r="B483" s="1" t="s">
        <v>376</v>
      </c>
      <c r="C483" s="1" t="str">
        <f>"6000 WEST TOWN PARKWAY STE 350                    "</f>
        <v xml:space="preserve">6000 WEST TOWN PARKWAY STE 350                    </v>
      </c>
      <c r="D483" s="1" t="s">
        <v>2442</v>
      </c>
      <c r="E483" s="1" t="s">
        <v>3264</v>
      </c>
      <c r="F483" s="1" t="str">
        <f>"50266    "</f>
        <v xml:space="preserve">50266    </v>
      </c>
      <c r="G483" s="1" t="str">
        <f>"8005113389"</f>
        <v>8005113389</v>
      </c>
      <c r="H483" s="1" t="s">
        <v>2637</v>
      </c>
    </row>
    <row r="484" spans="1:8" x14ac:dyDescent="0.25">
      <c r="A484" s="1" t="str">
        <f>"824  "</f>
        <v xml:space="preserve">824  </v>
      </c>
      <c r="B484" s="1" t="s">
        <v>2996</v>
      </c>
      <c r="C484" s="1" t="str">
        <f>"2181  EAST AURORA RD STE 201                      "</f>
        <v xml:space="preserve">2181  EAST AURORA RD STE 201                      </v>
      </c>
      <c r="D484" s="1" t="s">
        <v>2997</v>
      </c>
      <c r="E484" s="1" t="s">
        <v>2714</v>
      </c>
      <c r="F484" s="1" t="str">
        <f>"44087    "</f>
        <v xml:space="preserve">44087    </v>
      </c>
      <c r="G484" s="1" t="str">
        <f>"8003614542"</f>
        <v>8003614542</v>
      </c>
      <c r="H484" s="1" t="s">
        <v>2637</v>
      </c>
    </row>
    <row r="485" spans="1:8" x14ac:dyDescent="0.25">
      <c r="A485" s="1" t="str">
        <f>"509  "</f>
        <v xml:space="preserve">509  </v>
      </c>
      <c r="B485" s="1" t="s">
        <v>1171</v>
      </c>
      <c r="C485" s="1" t="s">
        <v>1172</v>
      </c>
      <c r="D485" s="1" t="s">
        <v>2673</v>
      </c>
      <c r="E485" s="1" t="s">
        <v>2674</v>
      </c>
      <c r="F485" s="1" t="str">
        <f>"84110    "</f>
        <v xml:space="preserve">84110    </v>
      </c>
      <c r="G485" s="1" t="str">
        <f>"8003525150"</f>
        <v>8003525150</v>
      </c>
      <c r="H485" s="1" t="s">
        <v>2637</v>
      </c>
    </row>
    <row r="486" spans="1:8" x14ac:dyDescent="0.25">
      <c r="A486" s="1" t="str">
        <f>"510  "</f>
        <v xml:space="preserve">510  </v>
      </c>
      <c r="B486" s="1" t="s">
        <v>491</v>
      </c>
      <c r="C486" s="1" t="s">
        <v>492</v>
      </c>
      <c r="D486" s="1" t="s">
        <v>1479</v>
      </c>
      <c r="E486" s="1" t="s">
        <v>2885</v>
      </c>
      <c r="F486" s="1" t="str">
        <f>"73172    "</f>
        <v xml:space="preserve">73172    </v>
      </c>
      <c r="G486" s="1" t="str">
        <f>"8007492631"</f>
        <v>8007492631</v>
      </c>
      <c r="H486" s="1" t="s">
        <v>2637</v>
      </c>
    </row>
    <row r="487" spans="1:8" x14ac:dyDescent="0.25">
      <c r="A487" s="1" t="s">
        <v>2368</v>
      </c>
      <c r="B487" s="1" t="s">
        <v>3243</v>
      </c>
      <c r="C487" s="1" t="s">
        <v>3244</v>
      </c>
      <c r="D487" s="1" t="s">
        <v>2696</v>
      </c>
      <c r="E487" s="1" t="s">
        <v>2697</v>
      </c>
      <c r="F487" s="1" t="str">
        <f>"17604    "</f>
        <v xml:space="preserve">17604    </v>
      </c>
      <c r="G487" s="1" t="str">
        <f>"8004333746"</f>
        <v>8004333746</v>
      </c>
      <c r="H487" s="1" t="s">
        <v>3245</v>
      </c>
    </row>
    <row r="488" spans="1:8" x14ac:dyDescent="0.25">
      <c r="A488" s="1" t="s">
        <v>3242</v>
      </c>
      <c r="B488" s="1" t="s">
        <v>3243</v>
      </c>
      <c r="C488" s="1" t="s">
        <v>3244</v>
      </c>
      <c r="D488" s="1" t="s">
        <v>2696</v>
      </c>
      <c r="E488" s="1" t="s">
        <v>2697</v>
      </c>
      <c r="F488" s="1" t="str">
        <f>"17604    "</f>
        <v xml:space="preserve">17604    </v>
      </c>
      <c r="G488" s="1" t="str">
        <f>"8004333746"</f>
        <v>8004333746</v>
      </c>
      <c r="H488" s="1" t="s">
        <v>3245</v>
      </c>
    </row>
    <row r="489" spans="1:8" x14ac:dyDescent="0.25">
      <c r="A489" s="1" t="str">
        <f>"180  "</f>
        <v xml:space="preserve">180  </v>
      </c>
      <c r="B489" s="1" t="s">
        <v>210</v>
      </c>
      <c r="C489" s="1" t="s">
        <v>211</v>
      </c>
      <c r="D489" s="1" t="s">
        <v>2981</v>
      </c>
      <c r="E489" s="1" t="s">
        <v>2832</v>
      </c>
      <c r="F489" s="1" t="str">
        <f>"33631    "</f>
        <v xml:space="preserve">33631    </v>
      </c>
      <c r="G489" s="1" t="str">
        <f>"8008847975"</f>
        <v>8008847975</v>
      </c>
      <c r="H489" s="1" t="s">
        <v>2648</v>
      </c>
    </row>
    <row r="490" spans="1:8" x14ac:dyDescent="0.25">
      <c r="A490" s="1" t="str">
        <f>"461  "</f>
        <v xml:space="preserve">461  </v>
      </c>
      <c r="B490" s="1" t="s">
        <v>203</v>
      </c>
      <c r="C490" s="1" t="s">
        <v>204</v>
      </c>
      <c r="D490" s="1" t="s">
        <v>2673</v>
      </c>
      <c r="E490" s="1" t="s">
        <v>2674</v>
      </c>
      <c r="F490" s="1" t="str">
        <f>"841310350"</f>
        <v>841310350</v>
      </c>
      <c r="G490" s="1" t="str">
        <f>"8888668298"</f>
        <v>8888668298</v>
      </c>
      <c r="H490" s="1" t="s">
        <v>2795</v>
      </c>
    </row>
    <row r="491" spans="1:8" x14ac:dyDescent="0.25">
      <c r="A491" s="1" t="s">
        <v>2503</v>
      </c>
      <c r="B491" s="1" t="s">
        <v>2504</v>
      </c>
      <c r="C491" s="1" t="s">
        <v>2505</v>
      </c>
      <c r="D491" s="1" t="s">
        <v>2506</v>
      </c>
      <c r="E491" s="1" t="s">
        <v>2832</v>
      </c>
      <c r="F491" s="1" t="str">
        <f>"34656    "</f>
        <v xml:space="preserve">34656    </v>
      </c>
      <c r="G491" s="1" t="str">
        <f>"8008814474"</f>
        <v>8008814474</v>
      </c>
      <c r="H491" s="1" t="s">
        <v>2760</v>
      </c>
    </row>
    <row r="492" spans="1:8" x14ac:dyDescent="0.25">
      <c r="A492" s="1" t="s">
        <v>2044</v>
      </c>
      <c r="B492" s="1" t="s">
        <v>2045</v>
      </c>
      <c r="C492" s="1" t="s">
        <v>2046</v>
      </c>
      <c r="D492" s="1" t="s">
        <v>3180</v>
      </c>
      <c r="E492" s="1" t="s">
        <v>2773</v>
      </c>
      <c r="F492" s="1" t="str">
        <f>"14604    "</f>
        <v xml:space="preserve">14604    </v>
      </c>
      <c r="G492" s="1" t="str">
        <f>"8778839577"</f>
        <v>8778839577</v>
      </c>
      <c r="H492" s="1" t="s">
        <v>2795</v>
      </c>
    </row>
    <row r="493" spans="1:8" x14ac:dyDescent="0.25">
      <c r="A493" s="1" t="str">
        <f>"333  "</f>
        <v xml:space="preserve">333  </v>
      </c>
      <c r="B493" s="1" t="s">
        <v>1345</v>
      </c>
      <c r="C493" s="1" t="s">
        <v>1346</v>
      </c>
      <c r="D493" s="1" t="s">
        <v>3263</v>
      </c>
      <c r="E493" s="1" t="s">
        <v>3264</v>
      </c>
      <c r="F493" s="1" t="str">
        <f>"527332849"</f>
        <v>527332849</v>
      </c>
      <c r="G493" s="1" t="str">
        <f>"8004516245"</f>
        <v>8004516245</v>
      </c>
      <c r="H493" s="1" t="s">
        <v>2637</v>
      </c>
    </row>
    <row r="494" spans="1:8" x14ac:dyDescent="0.25">
      <c r="A494" s="1" t="s">
        <v>2835</v>
      </c>
      <c r="B494" s="1" t="s">
        <v>2836</v>
      </c>
      <c r="C494" s="1" t="s">
        <v>2837</v>
      </c>
      <c r="D494" s="1" t="s">
        <v>2838</v>
      </c>
      <c r="E494" s="1" t="s">
        <v>2660</v>
      </c>
      <c r="F494" s="1" t="str">
        <f>"29773    "</f>
        <v xml:space="preserve">29773    </v>
      </c>
      <c r="G494" s="1" t="str">
        <f>"8642991720"</f>
        <v>8642991720</v>
      </c>
      <c r="H494" s="1" t="s">
        <v>2735</v>
      </c>
    </row>
    <row r="495" spans="1:8" x14ac:dyDescent="0.25">
      <c r="A495" s="1" t="str">
        <f>"669  "</f>
        <v xml:space="preserve">669  </v>
      </c>
      <c r="B495" s="1" t="s">
        <v>2878</v>
      </c>
      <c r="C495" s="1" t="str">
        <f>"-                                                 "</f>
        <v xml:space="preserve">-                                                 </v>
      </c>
      <c r="D495" s="1" t="str">
        <f>"-                                      "</f>
        <v xml:space="preserve">-                                      </v>
      </c>
      <c r="E495" s="1" t="str">
        <f>"- "</f>
        <v xml:space="preserve">- </v>
      </c>
      <c r="F495" s="1" t="str">
        <f>"-        "</f>
        <v xml:space="preserve">-        </v>
      </c>
      <c r="G495" s="1" t="s">
        <v>2637</v>
      </c>
      <c r="H495" s="1" t="s">
        <v>2637</v>
      </c>
    </row>
    <row r="496" spans="1:8" x14ac:dyDescent="0.25">
      <c r="A496" s="1" t="s">
        <v>350</v>
      </c>
      <c r="B496" s="1" t="s">
        <v>351</v>
      </c>
      <c r="C496" s="1" t="s">
        <v>352</v>
      </c>
      <c r="D496" s="1" t="s">
        <v>353</v>
      </c>
      <c r="E496" s="1" t="s">
        <v>3118</v>
      </c>
      <c r="F496" s="1" t="str">
        <f>"01615    "</f>
        <v xml:space="preserve">01615    </v>
      </c>
      <c r="G496" s="1" t="str">
        <f>"8008685200"</f>
        <v>8008685200</v>
      </c>
      <c r="H496" s="1" t="s">
        <v>2637</v>
      </c>
    </row>
    <row r="497" spans="1:8" x14ac:dyDescent="0.25">
      <c r="A497" s="1" t="s">
        <v>987</v>
      </c>
      <c r="B497" s="1" t="s">
        <v>988</v>
      </c>
      <c r="C497" s="1" t="str">
        <f>"4615 WALZEM ROAD STE 300                          "</f>
        <v xml:space="preserve">4615 WALZEM ROAD STE 300                          </v>
      </c>
      <c r="D497" s="1" t="s">
        <v>2985</v>
      </c>
      <c r="E497" s="1" t="s">
        <v>2636</v>
      </c>
      <c r="F497" s="1" t="str">
        <f>"782181610"</f>
        <v>782181610</v>
      </c>
      <c r="G497" s="1" t="str">
        <f>"8008999355"</f>
        <v>8008999355</v>
      </c>
      <c r="H497" s="1" t="s">
        <v>2637</v>
      </c>
    </row>
    <row r="498" spans="1:8" x14ac:dyDescent="0.25">
      <c r="A498" s="1" t="str">
        <f>"402  "</f>
        <v xml:space="preserve">402  </v>
      </c>
      <c r="B498" s="1" t="s">
        <v>201</v>
      </c>
      <c r="C498" s="1" t="s">
        <v>202</v>
      </c>
      <c r="D498" s="1" t="s">
        <v>2701</v>
      </c>
      <c r="E498" s="1" t="s">
        <v>2660</v>
      </c>
      <c r="F498" s="1" t="str">
        <f>"29260    "</f>
        <v xml:space="preserve">29260    </v>
      </c>
      <c r="G498" s="1" t="str">
        <f>"8037883860"</f>
        <v>8037883860</v>
      </c>
      <c r="H498" s="1" t="s">
        <v>2637</v>
      </c>
    </row>
    <row r="499" spans="1:8" x14ac:dyDescent="0.25">
      <c r="A499" s="1" t="s">
        <v>2886</v>
      </c>
      <c r="B499" s="1" t="s">
        <v>2887</v>
      </c>
      <c r="C499" s="1" t="s">
        <v>2888</v>
      </c>
      <c r="D499" s="1" t="s">
        <v>2791</v>
      </c>
      <c r="E499" s="1" t="s">
        <v>2744</v>
      </c>
      <c r="F499" s="1" t="str">
        <f>"407428300"</f>
        <v>407428300</v>
      </c>
      <c r="G499" s="1" t="str">
        <f>"8663358319"</f>
        <v>8663358319</v>
      </c>
      <c r="H499" s="1" t="s">
        <v>2760</v>
      </c>
    </row>
    <row r="500" spans="1:8" x14ac:dyDescent="0.25">
      <c r="A500" s="1" t="str">
        <f>"441  "</f>
        <v xml:space="preserve">441  </v>
      </c>
      <c r="B500" s="1" t="s">
        <v>2655</v>
      </c>
      <c r="C500" s="1" t="s">
        <v>2656</v>
      </c>
      <c r="D500" s="1" t="s">
        <v>2657</v>
      </c>
      <c r="E500" s="1" t="s">
        <v>2644</v>
      </c>
      <c r="F500" s="1" t="str">
        <f>"48235    "</f>
        <v xml:space="preserve">48235    </v>
      </c>
      <c r="G500" s="1" t="str">
        <f>"8005220041"</f>
        <v>8005220041</v>
      </c>
      <c r="H500" s="1" t="s">
        <v>2637</v>
      </c>
    </row>
    <row r="501" spans="1:8" x14ac:dyDescent="0.25">
      <c r="A501" s="1" t="str">
        <f>"290  "</f>
        <v xml:space="preserve">290  </v>
      </c>
      <c r="B501" s="1" t="s">
        <v>3051</v>
      </c>
      <c r="C501" s="1" t="s">
        <v>3052</v>
      </c>
      <c r="D501" s="1" t="s">
        <v>2981</v>
      </c>
      <c r="E501" s="1" t="s">
        <v>2832</v>
      </c>
      <c r="F501" s="1" t="str">
        <f>"336313716"</f>
        <v>336313716</v>
      </c>
      <c r="G501" s="1" t="str">
        <f>"8134968100"</f>
        <v>8134968100</v>
      </c>
      <c r="H501" s="1" t="s">
        <v>2637</v>
      </c>
    </row>
    <row r="502" spans="1:8" x14ac:dyDescent="0.25">
      <c r="A502" s="1" t="str">
        <f>"769  "</f>
        <v xml:space="preserve">769  </v>
      </c>
      <c r="B502" s="1" t="s">
        <v>1236</v>
      </c>
      <c r="C502" s="1" t="s">
        <v>1237</v>
      </c>
      <c r="D502" s="1" t="s">
        <v>1238</v>
      </c>
      <c r="E502" s="1" t="s">
        <v>2944</v>
      </c>
      <c r="F502" s="1" t="str">
        <f>"72602    "</f>
        <v xml:space="preserve">72602    </v>
      </c>
      <c r="G502" s="1" t="str">
        <f>"8008744723"</f>
        <v>8008744723</v>
      </c>
      <c r="H502" s="1" t="s">
        <v>2637</v>
      </c>
    </row>
    <row r="503" spans="1:8" x14ac:dyDescent="0.25">
      <c r="A503" s="1" t="str">
        <f>"738  "</f>
        <v xml:space="preserve">738  </v>
      </c>
      <c r="B503" s="1" t="s">
        <v>2569</v>
      </c>
      <c r="C503" s="1" t="s">
        <v>2570</v>
      </c>
      <c r="D503" s="1" t="s">
        <v>2571</v>
      </c>
      <c r="E503" s="1" t="s">
        <v>2832</v>
      </c>
      <c r="F503" s="1" t="str">
        <f>"333329711"</f>
        <v>333329711</v>
      </c>
      <c r="G503" s="1" t="str">
        <f>"8037988698"</f>
        <v>8037988698</v>
      </c>
      <c r="H503" s="1" t="s">
        <v>2735</v>
      </c>
    </row>
    <row r="504" spans="1:8" x14ac:dyDescent="0.25">
      <c r="A504" s="1" t="str">
        <f>"205  "</f>
        <v xml:space="preserve">205  </v>
      </c>
      <c r="B504" s="1" t="s">
        <v>2745</v>
      </c>
      <c r="C504" s="1" t="str">
        <f>"3130 BROADWAY                                     "</f>
        <v xml:space="preserve">3130 BROADWAY                                     </v>
      </c>
      <c r="D504" s="1" t="s">
        <v>2685</v>
      </c>
      <c r="E504" s="1" t="s">
        <v>2670</v>
      </c>
      <c r="F504" s="1" t="str">
        <f>"641112406"</f>
        <v>641112406</v>
      </c>
      <c r="G504" s="1" t="str">
        <f>"8006488624"</f>
        <v>8006488624</v>
      </c>
      <c r="H504" s="1" t="s">
        <v>2637</v>
      </c>
    </row>
    <row r="505" spans="1:8" x14ac:dyDescent="0.25">
      <c r="A505" s="1" t="str">
        <f>"941  "</f>
        <v xml:space="preserve">941  </v>
      </c>
      <c r="B505" s="1" t="s">
        <v>867</v>
      </c>
      <c r="C505" s="1" t="str">
        <f>"419 E MAIN ST                                     "</f>
        <v xml:space="preserve">419 E MAIN ST                                     </v>
      </c>
      <c r="D505" s="1" t="s">
        <v>868</v>
      </c>
      <c r="E505" s="1" t="s">
        <v>2773</v>
      </c>
      <c r="F505" s="1" t="str">
        <f>"10940    "</f>
        <v xml:space="preserve">10940    </v>
      </c>
      <c r="G505" s="1" t="str">
        <f>"8008267531"</f>
        <v>8008267531</v>
      </c>
      <c r="H505" s="1" t="s">
        <v>859</v>
      </c>
    </row>
    <row r="506" spans="1:8" x14ac:dyDescent="0.25">
      <c r="A506" s="1" t="s">
        <v>1133</v>
      </c>
      <c r="B506" s="1" t="s">
        <v>1134</v>
      </c>
      <c r="C506" s="1" t="s">
        <v>1135</v>
      </c>
      <c r="D506" s="1" t="s">
        <v>1136</v>
      </c>
      <c r="E506" s="1" t="s">
        <v>2677</v>
      </c>
      <c r="F506" s="1" t="str">
        <f>"272895000"</f>
        <v>272895000</v>
      </c>
      <c r="G506" s="1" t="str">
        <f>"8002223693"</f>
        <v>8002223693</v>
      </c>
      <c r="H506" s="1" t="s">
        <v>2637</v>
      </c>
    </row>
    <row r="507" spans="1:8" x14ac:dyDescent="0.25">
      <c r="A507" s="1" t="str">
        <f>"467  "</f>
        <v xml:space="preserve">467  </v>
      </c>
      <c r="B507" s="1" t="s">
        <v>1056</v>
      </c>
      <c r="C507" s="1" t="s">
        <v>1057</v>
      </c>
      <c r="D507" s="1" t="s">
        <v>2923</v>
      </c>
      <c r="E507" s="1" t="s">
        <v>2714</v>
      </c>
      <c r="F507" s="1" t="str">
        <f>"432182173"</f>
        <v>432182173</v>
      </c>
      <c r="G507" s="1" t="str">
        <f>"8008482664"</f>
        <v>8008482664</v>
      </c>
      <c r="H507" s="1" t="s">
        <v>2336</v>
      </c>
    </row>
    <row r="508" spans="1:8" x14ac:dyDescent="0.25">
      <c r="A508" s="1" t="str">
        <f>"288  "</f>
        <v xml:space="preserve">288  </v>
      </c>
      <c r="B508" s="1" t="s">
        <v>1947</v>
      </c>
      <c r="C508" s="1" t="s">
        <v>1948</v>
      </c>
      <c r="D508" s="1" t="s">
        <v>3077</v>
      </c>
      <c r="E508" s="1" t="s">
        <v>3264</v>
      </c>
      <c r="F508" s="1" t="str">
        <f>"51102    "</f>
        <v xml:space="preserve">51102    </v>
      </c>
      <c r="G508" s="1" t="str">
        <f>"8002060827"</f>
        <v>8002060827</v>
      </c>
      <c r="H508" s="1" t="s">
        <v>2637</v>
      </c>
    </row>
    <row r="509" spans="1:8" x14ac:dyDescent="0.25">
      <c r="A509" s="1" t="str">
        <f>"348  "</f>
        <v xml:space="preserve">348  </v>
      </c>
      <c r="B509" s="1" t="s">
        <v>467</v>
      </c>
      <c r="C509" s="1" t="str">
        <f>"5071 WEST H AVE                                   "</f>
        <v xml:space="preserve">5071 WEST H AVE                                   </v>
      </c>
      <c r="D509" s="1" t="s">
        <v>3173</v>
      </c>
      <c r="E509" s="1" t="s">
        <v>2644</v>
      </c>
      <c r="F509" s="1" t="str">
        <f>"490098501"</f>
        <v>490098501</v>
      </c>
      <c r="G509" s="1" t="str">
        <f>"2693816630"</f>
        <v>2693816630</v>
      </c>
      <c r="H509" s="1" t="s">
        <v>468</v>
      </c>
    </row>
    <row r="510" spans="1:8" x14ac:dyDescent="0.25">
      <c r="A510" s="1" t="str">
        <f>"354  "</f>
        <v xml:space="preserve">354  </v>
      </c>
      <c r="B510" s="1" t="s">
        <v>2879</v>
      </c>
      <c r="C510" s="1" t="s">
        <v>2880</v>
      </c>
      <c r="D510" s="1" t="s">
        <v>2659</v>
      </c>
      <c r="E510" s="1" t="s">
        <v>2706</v>
      </c>
      <c r="F510" s="1" t="str">
        <f>"46015    "</f>
        <v xml:space="preserve">46015    </v>
      </c>
      <c r="G510" s="1" t="s">
        <v>2637</v>
      </c>
      <c r="H510" s="1" t="s">
        <v>2688</v>
      </c>
    </row>
    <row r="511" spans="1:8" x14ac:dyDescent="0.25">
      <c r="A511" s="1" t="s">
        <v>3082</v>
      </c>
      <c r="B511" s="1" t="s">
        <v>3083</v>
      </c>
      <c r="C511" s="1" t="s">
        <v>3084</v>
      </c>
      <c r="D511" s="1" t="s">
        <v>3085</v>
      </c>
      <c r="E511" s="1" t="s">
        <v>3086</v>
      </c>
      <c r="F511" s="1" t="str">
        <f>"35238    "</f>
        <v xml:space="preserve">35238    </v>
      </c>
      <c r="G511" s="1" t="str">
        <f>"8008113298"</f>
        <v>8008113298</v>
      </c>
      <c r="H511" s="1" t="s">
        <v>2637</v>
      </c>
    </row>
    <row r="512" spans="1:8" x14ac:dyDescent="0.25">
      <c r="A512" s="1" t="str">
        <f>"775  "</f>
        <v xml:space="preserve">775  </v>
      </c>
      <c r="B512" s="1" t="s">
        <v>2496</v>
      </c>
      <c r="C512" s="1" t="s">
        <v>2497</v>
      </c>
      <c r="D512" s="1" t="s">
        <v>2498</v>
      </c>
      <c r="E512" s="1" t="s">
        <v>2667</v>
      </c>
      <c r="F512" s="1" t="str">
        <f>"535120658"</f>
        <v>535120658</v>
      </c>
      <c r="G512" s="1" t="str">
        <f>"8003035770"</f>
        <v>8003035770</v>
      </c>
      <c r="H512" s="1" t="s">
        <v>2637</v>
      </c>
    </row>
    <row r="513" spans="1:8" x14ac:dyDescent="0.25">
      <c r="A513" s="1" t="str">
        <f>"789  "</f>
        <v xml:space="preserve">789  </v>
      </c>
      <c r="B513" s="1" t="s">
        <v>1548</v>
      </c>
      <c r="C513" s="1" t="s">
        <v>1549</v>
      </c>
      <c r="D513" s="1" t="s">
        <v>3085</v>
      </c>
      <c r="E513" s="1" t="s">
        <v>3086</v>
      </c>
      <c r="F513" s="1" t="str">
        <f>"35238    "</f>
        <v xml:space="preserve">35238    </v>
      </c>
      <c r="G513" s="1" t="str">
        <f>"8007347826"</f>
        <v>8007347826</v>
      </c>
      <c r="H513" s="1" t="s">
        <v>2735</v>
      </c>
    </row>
    <row r="514" spans="1:8" x14ac:dyDescent="0.25">
      <c r="A514" s="1" t="str">
        <f>"803  "</f>
        <v xml:space="preserve">803  </v>
      </c>
      <c r="B514" s="1" t="s">
        <v>1800</v>
      </c>
      <c r="C514" s="1" t="s">
        <v>1801</v>
      </c>
      <c r="D514" s="1" t="s">
        <v>2094</v>
      </c>
      <c r="E514" s="1" t="s">
        <v>2706</v>
      </c>
      <c r="F514" s="1" t="str">
        <f>"46032    "</f>
        <v xml:space="preserve">46032    </v>
      </c>
      <c r="G514" s="1" t="str">
        <f>"8005381235"</f>
        <v>8005381235</v>
      </c>
      <c r="H514" s="1" t="s">
        <v>2637</v>
      </c>
    </row>
    <row r="515" spans="1:8" x14ac:dyDescent="0.25">
      <c r="A515" s="1" t="str">
        <f>"946  "</f>
        <v xml:space="preserve">946  </v>
      </c>
      <c r="B515" s="1" t="s">
        <v>2310</v>
      </c>
      <c r="C515" s="1" t="s">
        <v>2311</v>
      </c>
      <c r="D515" s="1" t="s">
        <v>2910</v>
      </c>
      <c r="E515" s="1" t="s">
        <v>2681</v>
      </c>
      <c r="F515" s="1" t="str">
        <f>"31799    "</f>
        <v xml:space="preserve">31799    </v>
      </c>
      <c r="G515" s="1" t="str">
        <f>"8668478235"</f>
        <v>8668478235</v>
      </c>
      <c r="H515" s="1" t="s">
        <v>2637</v>
      </c>
    </row>
    <row r="516" spans="1:8" x14ac:dyDescent="0.25">
      <c r="A516" s="1" t="str">
        <f>"245RX"</f>
        <v>245RX</v>
      </c>
      <c r="B516" s="1" t="s">
        <v>2310</v>
      </c>
      <c r="C516" s="1" t="s">
        <v>1451</v>
      </c>
      <c r="D516" s="1" t="s">
        <v>1452</v>
      </c>
      <c r="E516" s="1" t="s">
        <v>2809</v>
      </c>
      <c r="F516" s="1" t="str">
        <f>"85734    "</f>
        <v xml:space="preserve">85734    </v>
      </c>
      <c r="G516" s="1" t="str">
        <f>"8005544954"</f>
        <v>8005544954</v>
      </c>
      <c r="H516" s="1" t="s">
        <v>2637</v>
      </c>
    </row>
    <row r="517" spans="1:8" x14ac:dyDescent="0.25">
      <c r="A517" s="1" t="str">
        <f>"456  "</f>
        <v xml:space="preserve">456  </v>
      </c>
      <c r="B517" s="1" t="s">
        <v>834</v>
      </c>
      <c r="C517" s="1" t="s">
        <v>835</v>
      </c>
      <c r="D517" s="1" t="s">
        <v>1970</v>
      </c>
      <c r="E517" s="1" t="s">
        <v>2902</v>
      </c>
      <c r="F517" s="1" t="str">
        <f>"551210680"</f>
        <v>551210680</v>
      </c>
      <c r="G517" s="1" t="str">
        <f>"8664775465"</f>
        <v>8664775465</v>
      </c>
      <c r="H517" s="1" t="s">
        <v>2688</v>
      </c>
    </row>
    <row r="518" spans="1:8" x14ac:dyDescent="0.25">
      <c r="A518" s="1" t="str">
        <f>"249  "</f>
        <v xml:space="preserve">249  </v>
      </c>
      <c r="B518" s="1" t="s">
        <v>1450</v>
      </c>
      <c r="C518" s="1" t="s">
        <v>1451</v>
      </c>
      <c r="D518" s="1" t="s">
        <v>1452</v>
      </c>
      <c r="E518" s="1" t="s">
        <v>2809</v>
      </c>
      <c r="F518" s="1" t="str">
        <f>"85735    "</f>
        <v xml:space="preserve">85735    </v>
      </c>
      <c r="G518" s="1" t="str">
        <f>"8005544954"</f>
        <v>8005544954</v>
      </c>
      <c r="H518" s="1" t="s">
        <v>2648</v>
      </c>
    </row>
    <row r="519" spans="1:8" x14ac:dyDescent="0.25">
      <c r="A519" s="1" t="str">
        <f>"351  "</f>
        <v xml:space="preserve">351  </v>
      </c>
      <c r="B519" s="1" t="s">
        <v>2349</v>
      </c>
      <c r="C519" s="1" t="s">
        <v>2350</v>
      </c>
      <c r="D519" s="1" t="s">
        <v>2351</v>
      </c>
      <c r="E519" s="1" t="s">
        <v>2667</v>
      </c>
      <c r="F519" s="1" t="str">
        <f>"544028077"</f>
        <v>544028077</v>
      </c>
      <c r="G519" s="1" t="str">
        <f>"8666848090"</f>
        <v>8666848090</v>
      </c>
      <c r="H519" s="1" t="s">
        <v>2648</v>
      </c>
    </row>
    <row r="520" spans="1:8" x14ac:dyDescent="0.25">
      <c r="A520" s="1" t="str">
        <f>"139  "</f>
        <v xml:space="preserve">139  </v>
      </c>
      <c r="B520" s="1" t="s">
        <v>894</v>
      </c>
      <c r="C520" s="1" t="s">
        <v>2378</v>
      </c>
      <c r="D520" s="1" t="s">
        <v>2379</v>
      </c>
      <c r="E520" s="1" t="s">
        <v>2667</v>
      </c>
      <c r="F520" s="1" t="str">
        <f>"544028013"</f>
        <v>544028013</v>
      </c>
      <c r="G520" s="1" t="str">
        <f>"8008269781"</f>
        <v>8008269781</v>
      </c>
      <c r="H520" s="1" t="s">
        <v>1720</v>
      </c>
    </row>
    <row r="521" spans="1:8" x14ac:dyDescent="0.25">
      <c r="A521" s="1" t="str">
        <f>"352  "</f>
        <v xml:space="preserve">352  </v>
      </c>
      <c r="B521" s="1" t="s">
        <v>2232</v>
      </c>
      <c r="C521" s="1" t="s">
        <v>2233</v>
      </c>
      <c r="D521" s="1" t="s">
        <v>2234</v>
      </c>
      <c r="E521" s="1" t="s">
        <v>2826</v>
      </c>
      <c r="F521" s="1" t="str">
        <f>"810020720"</f>
        <v>810020720</v>
      </c>
      <c r="G521" s="1" t="str">
        <f>"8004468182"</f>
        <v>8004468182</v>
      </c>
      <c r="H521" s="1" t="s">
        <v>3218</v>
      </c>
    </row>
    <row r="522" spans="1:8" x14ac:dyDescent="0.25">
      <c r="A522" s="1" t="str">
        <f>"670  "</f>
        <v xml:space="preserve">670  </v>
      </c>
      <c r="B522" s="1" t="s">
        <v>3184</v>
      </c>
      <c r="C522" s="1" t="str">
        <f>"-                                                 "</f>
        <v xml:space="preserve">-                                                 </v>
      </c>
      <c r="D522" s="1" t="str">
        <f>"-                                      "</f>
        <v xml:space="preserve">-                                      </v>
      </c>
      <c r="E522" s="1" t="str">
        <f>"- "</f>
        <v xml:space="preserve">- </v>
      </c>
      <c r="F522" s="1" t="str">
        <f>"-        "</f>
        <v xml:space="preserve">-        </v>
      </c>
      <c r="G522" s="1" t="s">
        <v>2637</v>
      </c>
      <c r="H522" s="1" t="s">
        <v>2637</v>
      </c>
    </row>
    <row r="523" spans="1:8" x14ac:dyDescent="0.25">
      <c r="A523" s="1" t="s">
        <v>814</v>
      </c>
      <c r="B523" s="1" t="s">
        <v>815</v>
      </c>
      <c r="C523" s="1" t="s">
        <v>816</v>
      </c>
      <c r="D523" s="1" t="s">
        <v>817</v>
      </c>
      <c r="E523" s="1" t="s">
        <v>2832</v>
      </c>
      <c r="F523" s="1" t="str">
        <f>"338853067"</f>
        <v>338853067</v>
      </c>
      <c r="G523" s="1" t="str">
        <f>"8002263155"</f>
        <v>8002263155</v>
      </c>
      <c r="H523" s="1" t="s">
        <v>2760</v>
      </c>
    </row>
    <row r="524" spans="1:8" x14ac:dyDescent="0.25">
      <c r="A524" s="1" t="str">
        <f>"719  "</f>
        <v xml:space="preserve">719  </v>
      </c>
      <c r="B524" s="1" t="s">
        <v>1166</v>
      </c>
      <c r="C524" s="1" t="s">
        <v>1167</v>
      </c>
      <c r="D524" s="1" t="s">
        <v>2834</v>
      </c>
      <c r="E524" s="1" t="s">
        <v>2832</v>
      </c>
      <c r="F524" s="1" t="str">
        <f>"322470269"</f>
        <v>322470269</v>
      </c>
      <c r="G524" s="1" t="str">
        <f>"9043548335"</f>
        <v>9043548335</v>
      </c>
      <c r="H524" s="1" t="s">
        <v>2637</v>
      </c>
    </row>
    <row r="525" spans="1:8" x14ac:dyDescent="0.25">
      <c r="A525" s="1" t="str">
        <f>"913  "</f>
        <v xml:space="preserve">913  </v>
      </c>
      <c r="B525" s="1" t="s">
        <v>3255</v>
      </c>
      <c r="C525" s="1" t="s">
        <v>3256</v>
      </c>
      <c r="D525" s="1" t="s">
        <v>3257</v>
      </c>
      <c r="E525" s="1" t="s">
        <v>2832</v>
      </c>
      <c r="F525" s="1" t="str">
        <f>"328536847"</f>
        <v>328536847</v>
      </c>
      <c r="G525" s="1" t="str">
        <f>"8007414810"</f>
        <v>8007414810</v>
      </c>
      <c r="H525" s="1" t="s">
        <v>2637</v>
      </c>
    </row>
    <row r="526" spans="1:8" x14ac:dyDescent="0.25">
      <c r="A526" s="1" t="s">
        <v>2252</v>
      </c>
      <c r="B526" s="1" t="s">
        <v>2253</v>
      </c>
      <c r="C526" s="1" t="s">
        <v>2254</v>
      </c>
      <c r="D526" s="1" t="s">
        <v>2748</v>
      </c>
      <c r="E526" s="1" t="s">
        <v>2749</v>
      </c>
      <c r="F526" s="1" t="str">
        <f>"66225    "</f>
        <v xml:space="preserve">66225    </v>
      </c>
      <c r="G526" s="1" t="str">
        <f>"8009909058"</f>
        <v>8009909058</v>
      </c>
      <c r="H526" s="1" t="s">
        <v>2637</v>
      </c>
    </row>
    <row r="527" spans="1:8" x14ac:dyDescent="0.25">
      <c r="A527" s="1" t="s">
        <v>297</v>
      </c>
      <c r="B527" s="1" t="s">
        <v>298</v>
      </c>
      <c r="C527" s="1" t="str">
        <f>"720 COOL SPRINGS BLVD                             "</f>
        <v xml:space="preserve">720 COOL SPRINGS BLVD                             </v>
      </c>
      <c r="D527" s="1" t="s">
        <v>299</v>
      </c>
      <c r="E527" s="1" t="s">
        <v>2970</v>
      </c>
      <c r="F527" s="1" t="str">
        <f>"37067    "</f>
        <v xml:space="preserve">37067    </v>
      </c>
      <c r="G527" s="1" t="str">
        <f>"6157784000"</f>
        <v>6157784000</v>
      </c>
      <c r="H527" s="1" t="s">
        <v>2760</v>
      </c>
    </row>
    <row r="528" spans="1:8" x14ac:dyDescent="0.25">
      <c r="A528" s="1" t="s">
        <v>3096</v>
      </c>
      <c r="B528" s="1" t="s">
        <v>3097</v>
      </c>
      <c r="C528" s="1" t="s">
        <v>3098</v>
      </c>
      <c r="D528" s="1" t="s">
        <v>2854</v>
      </c>
      <c r="E528" s="1" t="s">
        <v>2636</v>
      </c>
      <c r="F528" s="1" t="str">
        <f>"79998    "</f>
        <v xml:space="preserve">79998    </v>
      </c>
      <c r="G528" s="1" t="str">
        <f>"8774925870"</f>
        <v>8774925870</v>
      </c>
      <c r="H528" s="1" t="s">
        <v>2637</v>
      </c>
    </row>
    <row r="529" spans="1:8" x14ac:dyDescent="0.25">
      <c r="A529" s="1" t="s">
        <v>1811</v>
      </c>
      <c r="B529" s="1" t="s">
        <v>1812</v>
      </c>
      <c r="C529" s="1" t="str">
        <f>"6300 BRIDGEPOINT PKWAY, BLDG 3 #400               "</f>
        <v xml:space="preserve">6300 BRIDGEPOINT PKWAY, BLDG 3 #400               </v>
      </c>
      <c r="D529" s="1" t="s">
        <v>2805</v>
      </c>
      <c r="E529" s="1" t="s">
        <v>2636</v>
      </c>
      <c r="F529" s="1" t="str">
        <f>"78730    "</f>
        <v xml:space="preserve">78730    </v>
      </c>
      <c r="G529" s="1" t="str">
        <f>"8883687910"</f>
        <v>8883687910</v>
      </c>
      <c r="H529" s="1" t="s">
        <v>2637</v>
      </c>
    </row>
    <row r="530" spans="1:8" x14ac:dyDescent="0.25">
      <c r="A530" s="1" t="str">
        <f>"870  "</f>
        <v xml:space="preserve">870  </v>
      </c>
      <c r="B530" s="1" t="s">
        <v>494</v>
      </c>
      <c r="C530" s="1" t="s">
        <v>495</v>
      </c>
      <c r="D530" s="1" t="s">
        <v>496</v>
      </c>
      <c r="E530" s="1" t="s">
        <v>2832</v>
      </c>
      <c r="F530" s="1" t="str">
        <f>"33345    "</f>
        <v xml:space="preserve">33345    </v>
      </c>
      <c r="G530" s="1" t="str">
        <f>"8004415501"</f>
        <v>8004415501</v>
      </c>
      <c r="H530" s="1" t="s">
        <v>2637</v>
      </c>
    </row>
    <row r="531" spans="1:8" x14ac:dyDescent="0.25">
      <c r="A531" s="1" t="str">
        <f>"393  "</f>
        <v xml:space="preserve">393  </v>
      </c>
      <c r="B531" s="1" t="s">
        <v>1757</v>
      </c>
      <c r="C531" s="1" t="s">
        <v>1758</v>
      </c>
      <c r="D531" s="1" t="s">
        <v>3085</v>
      </c>
      <c r="E531" s="1" t="s">
        <v>3086</v>
      </c>
      <c r="F531" s="1" t="str">
        <f>"35202    "</f>
        <v xml:space="preserve">35202    </v>
      </c>
      <c r="G531" s="1" t="str">
        <f>"8009919155"</f>
        <v>8009919155</v>
      </c>
      <c r="H531" s="1" t="s">
        <v>2637</v>
      </c>
    </row>
    <row r="532" spans="1:8" x14ac:dyDescent="0.25">
      <c r="A532" s="1" t="s">
        <v>2166</v>
      </c>
      <c r="B532" s="1" t="s">
        <v>2167</v>
      </c>
      <c r="C532" s="1" t="s">
        <v>2168</v>
      </c>
      <c r="D532" s="1" t="s">
        <v>2169</v>
      </c>
      <c r="E532" s="1" t="s">
        <v>2644</v>
      </c>
      <c r="F532" s="1" t="str">
        <f>"39158    "</f>
        <v xml:space="preserve">39158    </v>
      </c>
      <c r="G532" s="1" t="str">
        <f>"8774766327"</f>
        <v>8774766327</v>
      </c>
      <c r="H532" s="1" t="s">
        <v>2637</v>
      </c>
    </row>
    <row r="533" spans="1:8" x14ac:dyDescent="0.25">
      <c r="A533" s="1" t="str">
        <f>"765  "</f>
        <v xml:space="preserve">765  </v>
      </c>
      <c r="B533" s="1" t="s">
        <v>507</v>
      </c>
      <c r="C533" s="1" t="s">
        <v>508</v>
      </c>
      <c r="D533" s="1" t="s">
        <v>2981</v>
      </c>
      <c r="E533" s="1" t="s">
        <v>2832</v>
      </c>
      <c r="F533" s="1" t="str">
        <f>"33684    "</f>
        <v xml:space="preserve">33684    </v>
      </c>
      <c r="G533" s="1" t="str">
        <f>"8004012740"</f>
        <v>8004012740</v>
      </c>
      <c r="H533" s="1" t="s">
        <v>2760</v>
      </c>
    </row>
    <row r="534" spans="1:8" x14ac:dyDescent="0.25">
      <c r="A534" s="1" t="s">
        <v>1611</v>
      </c>
      <c r="B534" s="1" t="s">
        <v>1612</v>
      </c>
      <c r="C534" s="1" t="s">
        <v>1613</v>
      </c>
      <c r="D534" s="1" t="s">
        <v>2743</v>
      </c>
      <c r="E534" s="1" t="s">
        <v>2744</v>
      </c>
      <c r="F534" s="1" t="str">
        <f>"40224    "</f>
        <v xml:space="preserve">40224    </v>
      </c>
      <c r="G534" s="1" t="str">
        <f>"8005281057"</f>
        <v>8005281057</v>
      </c>
      <c r="H534" s="1" t="s">
        <v>2637</v>
      </c>
    </row>
    <row r="535" spans="1:8" x14ac:dyDescent="0.25">
      <c r="A535" s="1" t="str">
        <f>"587  "</f>
        <v xml:space="preserve">587  </v>
      </c>
      <c r="B535" s="1" t="s">
        <v>2683</v>
      </c>
      <c r="C535" s="1" t="s">
        <v>2684</v>
      </c>
      <c r="D535" s="1" t="s">
        <v>2685</v>
      </c>
      <c r="E535" s="1" t="s">
        <v>2670</v>
      </c>
      <c r="F535" s="1" t="str">
        <f>"64141    "</f>
        <v xml:space="preserve">64141    </v>
      </c>
      <c r="G535" s="1" t="str">
        <f>"8886787012"</f>
        <v>8886787012</v>
      </c>
      <c r="H535" s="1" t="s">
        <v>2637</v>
      </c>
    </row>
    <row r="536" spans="1:8" x14ac:dyDescent="0.25">
      <c r="A536" s="1" t="str">
        <f>"842  "</f>
        <v xml:space="preserve">842  </v>
      </c>
      <c r="B536" s="1" t="s">
        <v>2203</v>
      </c>
      <c r="C536" s="1" t="s">
        <v>2204</v>
      </c>
      <c r="D536" s="1" t="s">
        <v>2705</v>
      </c>
      <c r="E536" s="1" t="s">
        <v>2706</v>
      </c>
      <c r="F536" s="1" t="str">
        <f>"462400619"</f>
        <v>462400619</v>
      </c>
      <c r="G536" s="1" t="str">
        <f>"3172579131"</f>
        <v>3172579131</v>
      </c>
      <c r="H536" s="1" t="s">
        <v>2637</v>
      </c>
    </row>
    <row r="537" spans="1:8" x14ac:dyDescent="0.25">
      <c r="A537" s="1" t="str">
        <f>"842DN"</f>
        <v>842DN</v>
      </c>
      <c r="B537" s="1" t="s">
        <v>2203</v>
      </c>
      <c r="C537" s="1" t="s">
        <v>2204</v>
      </c>
      <c r="D537" s="1" t="s">
        <v>2705</v>
      </c>
      <c r="E537" s="1" t="s">
        <v>2706</v>
      </c>
      <c r="F537" s="1" t="str">
        <f>"462400619"</f>
        <v>462400619</v>
      </c>
      <c r="G537" s="1" t="str">
        <f>"3172579131"</f>
        <v>3172579131</v>
      </c>
      <c r="H537" s="1" t="s">
        <v>2637</v>
      </c>
    </row>
    <row r="538" spans="1:8" x14ac:dyDescent="0.25">
      <c r="A538" s="1" t="s">
        <v>537</v>
      </c>
      <c r="B538" s="1" t="s">
        <v>538</v>
      </c>
      <c r="C538" s="1" t="s">
        <v>539</v>
      </c>
      <c r="D538" s="1" t="s">
        <v>2627</v>
      </c>
      <c r="E538" s="1" t="s">
        <v>2773</v>
      </c>
      <c r="F538" s="1" t="str">
        <f>"122110655"</f>
        <v>122110655</v>
      </c>
      <c r="G538" s="1" t="str">
        <f>"8006855209"</f>
        <v>8006855209</v>
      </c>
      <c r="H538" s="1" t="s">
        <v>2795</v>
      </c>
    </row>
    <row r="539" spans="1:8" x14ac:dyDescent="0.25">
      <c r="A539" s="1" t="str">
        <f>"864  "</f>
        <v xml:space="preserve">864  </v>
      </c>
      <c r="B539" s="1" t="s">
        <v>2430</v>
      </c>
      <c r="C539" s="1" t="s">
        <v>2431</v>
      </c>
      <c r="D539" s="1" t="s">
        <v>2413</v>
      </c>
      <c r="E539" s="1" t="s">
        <v>2636</v>
      </c>
      <c r="F539" s="1" t="str">
        <f>"76015    "</f>
        <v xml:space="preserve">76015    </v>
      </c>
      <c r="G539" s="1" t="str">
        <f>"8882558961"</f>
        <v>8882558961</v>
      </c>
      <c r="H539" s="1" t="s">
        <v>2637</v>
      </c>
    </row>
    <row r="540" spans="1:8" x14ac:dyDescent="0.25">
      <c r="A540" s="1" t="str">
        <f>"442  "</f>
        <v xml:space="preserve">442  </v>
      </c>
      <c r="B540" s="1" t="s">
        <v>984</v>
      </c>
      <c r="C540" s="1" t="s">
        <v>985</v>
      </c>
      <c r="D540" s="1" t="s">
        <v>986</v>
      </c>
      <c r="E540" s="1" t="s">
        <v>3164</v>
      </c>
      <c r="F540" s="1" t="str">
        <f>"24505    "</f>
        <v xml:space="preserve">24505    </v>
      </c>
      <c r="G540" s="1" t="str">
        <f>"8002530856"</f>
        <v>8002530856</v>
      </c>
      <c r="H540" s="1" t="s">
        <v>2637</v>
      </c>
    </row>
    <row r="541" spans="1:8" x14ac:dyDescent="0.25">
      <c r="A541" s="1" t="str">
        <f>"845  "</f>
        <v xml:space="preserve">845  </v>
      </c>
      <c r="B541" s="1" t="s">
        <v>1886</v>
      </c>
      <c r="C541" s="1" t="s">
        <v>1887</v>
      </c>
      <c r="D541" s="1" t="s">
        <v>1888</v>
      </c>
      <c r="E541" s="1" t="s">
        <v>2697</v>
      </c>
      <c r="F541" s="1" t="str">
        <f>"178218200"</f>
        <v>178218200</v>
      </c>
      <c r="G541" s="1" t="str">
        <f>"8004989731"</f>
        <v>8004989731</v>
      </c>
      <c r="H541" s="1" t="s">
        <v>2795</v>
      </c>
    </row>
    <row r="542" spans="1:8" x14ac:dyDescent="0.25">
      <c r="A542" s="1" t="s">
        <v>1772</v>
      </c>
      <c r="B542" s="1" t="s">
        <v>1773</v>
      </c>
      <c r="C542" s="1" t="str">
        <f>"1200 THREE GATEWAY CENTER                         "</f>
        <v xml:space="preserve">1200 THREE GATEWAY CENTER                         </v>
      </c>
      <c r="D542" s="1" t="s">
        <v>3230</v>
      </c>
      <c r="E542" s="1" t="s">
        <v>2697</v>
      </c>
      <c r="F542" s="1" t="str">
        <f>"15222    "</f>
        <v xml:space="preserve">15222    </v>
      </c>
      <c r="G542" s="1" t="str">
        <f>"8002428923"</f>
        <v>8002428923</v>
      </c>
      <c r="H542" s="1" t="s">
        <v>2637</v>
      </c>
    </row>
    <row r="543" spans="1:8" x14ac:dyDescent="0.25">
      <c r="A543" s="1" t="str">
        <f>"232  "</f>
        <v xml:space="preserve">232  </v>
      </c>
      <c r="B543" s="1" t="s">
        <v>685</v>
      </c>
      <c r="C543" s="1" t="s">
        <v>686</v>
      </c>
      <c r="D543" s="1" t="s">
        <v>1532</v>
      </c>
      <c r="E543" s="1" t="s">
        <v>2681</v>
      </c>
      <c r="F543" s="1" t="str">
        <f>"30366    "</f>
        <v xml:space="preserve">30366    </v>
      </c>
      <c r="G543" s="1" t="str">
        <f>"4044579555"</f>
        <v>4044579555</v>
      </c>
      <c r="H543" s="1" t="s">
        <v>2688</v>
      </c>
    </row>
    <row r="544" spans="1:8" x14ac:dyDescent="0.25">
      <c r="A544" s="1" t="str">
        <f>"728  "</f>
        <v xml:space="preserve">728  </v>
      </c>
      <c r="B544" s="1" t="s">
        <v>731</v>
      </c>
      <c r="C544" s="1" t="str">
        <f>"305 MEDICINE BLVD.                                "</f>
        <v xml:space="preserve">305 MEDICINE BLVD.                                </v>
      </c>
      <c r="D544" s="1" t="s">
        <v>2772</v>
      </c>
      <c r="E544" s="1" t="s">
        <v>2773</v>
      </c>
      <c r="F544" s="1" t="str">
        <f>"10165    "</f>
        <v xml:space="preserve">10165    </v>
      </c>
      <c r="G544" s="1" t="str">
        <f>"8003412234"</f>
        <v>8003412234</v>
      </c>
      <c r="H544" s="1" t="s">
        <v>2637</v>
      </c>
    </row>
    <row r="545" spans="1:8" x14ac:dyDescent="0.25">
      <c r="A545" s="1" t="str">
        <f>"799  "</f>
        <v xml:space="preserve">799  </v>
      </c>
      <c r="B545" s="1" t="s">
        <v>2799</v>
      </c>
      <c r="C545" s="1" t="s">
        <v>2800</v>
      </c>
      <c r="D545" s="1" t="s">
        <v>2801</v>
      </c>
      <c r="E545" s="1" t="s">
        <v>2663</v>
      </c>
      <c r="F545" s="1" t="str">
        <f>"949129974"</f>
        <v>949129974</v>
      </c>
      <c r="G545" s="1" t="str">
        <f>"8008764582"</f>
        <v>8008764582</v>
      </c>
      <c r="H545" s="1" t="s">
        <v>2802</v>
      </c>
    </row>
    <row r="546" spans="1:8" x14ac:dyDescent="0.25">
      <c r="A546" s="1" t="str">
        <f>"997  "</f>
        <v xml:space="preserve">997  </v>
      </c>
      <c r="B546" s="1" t="s">
        <v>2799</v>
      </c>
      <c r="C546" s="1" t="s">
        <v>2112</v>
      </c>
      <c r="D546" s="1" t="s">
        <v>3074</v>
      </c>
      <c r="E546" s="1" t="s">
        <v>2832</v>
      </c>
      <c r="F546" s="1" t="str">
        <f>"33757    "</f>
        <v xml:space="preserve">33757    </v>
      </c>
      <c r="G546" s="1" t="str">
        <f>"8778259337"</f>
        <v>8778259337</v>
      </c>
      <c r="H546" s="1" t="s">
        <v>2735</v>
      </c>
    </row>
    <row r="547" spans="1:8" x14ac:dyDescent="0.25">
      <c r="A547" s="1" t="str">
        <f>"671  "</f>
        <v xml:space="preserve">671  </v>
      </c>
      <c r="B547" s="1" t="s">
        <v>3046</v>
      </c>
      <c r="C547" s="1" t="str">
        <f>"-                                                 "</f>
        <v xml:space="preserve">-                                                 </v>
      </c>
      <c r="D547" s="1" t="str">
        <f>"-                                      "</f>
        <v xml:space="preserve">-                                      </v>
      </c>
      <c r="E547" s="1" t="str">
        <f>"- "</f>
        <v xml:space="preserve">- </v>
      </c>
      <c r="F547" s="1" t="str">
        <f>"-        "</f>
        <v xml:space="preserve">-        </v>
      </c>
      <c r="G547" s="1" t="s">
        <v>2637</v>
      </c>
      <c r="H547" s="1" t="s">
        <v>2637</v>
      </c>
    </row>
    <row r="548" spans="1:8" x14ac:dyDescent="0.25">
      <c r="A548" s="1" t="str">
        <f>"730  "</f>
        <v xml:space="preserve">730  </v>
      </c>
      <c r="B548" s="1" t="s">
        <v>754</v>
      </c>
      <c r="C548" s="1" t="s">
        <v>755</v>
      </c>
      <c r="D548" s="1" t="s">
        <v>2680</v>
      </c>
      <c r="E548" s="1" t="s">
        <v>2681</v>
      </c>
      <c r="F548" s="1" t="str">
        <f>"314163088"</f>
        <v>314163088</v>
      </c>
      <c r="G548" s="1" t="str">
        <f>"8005666710"</f>
        <v>8005666710</v>
      </c>
      <c r="H548" s="1" t="s">
        <v>2637</v>
      </c>
    </row>
    <row r="549" spans="1:8" x14ac:dyDescent="0.25">
      <c r="A549" s="1" t="str">
        <f>"419  "</f>
        <v xml:space="preserve">419  </v>
      </c>
      <c r="B549" s="1" t="s">
        <v>51</v>
      </c>
      <c r="C549" s="1" t="s">
        <v>52</v>
      </c>
      <c r="D549" s="1" t="s">
        <v>2717</v>
      </c>
      <c r="E549" s="1" t="s">
        <v>2681</v>
      </c>
      <c r="F549" s="1" t="str">
        <f>"30334    "</f>
        <v xml:space="preserve">30334    </v>
      </c>
      <c r="G549" s="1" t="str">
        <f>"8006266402"</f>
        <v>8006266402</v>
      </c>
      <c r="H549" s="1" t="s">
        <v>2637</v>
      </c>
    </row>
    <row r="550" spans="1:8" x14ac:dyDescent="0.25">
      <c r="A550" s="1" t="str">
        <f>"365  "</f>
        <v xml:space="preserve">365  </v>
      </c>
      <c r="B550" s="1" t="s">
        <v>2235</v>
      </c>
      <c r="C550" s="1" t="s">
        <v>2236</v>
      </c>
      <c r="D550" s="1" t="s">
        <v>2710</v>
      </c>
      <c r="E550" s="1" t="s">
        <v>2660</v>
      </c>
      <c r="F550" s="1" t="str">
        <f>"29602    "</f>
        <v xml:space="preserve">29602    </v>
      </c>
      <c r="G550" s="1" t="str">
        <f>"8649875200"</f>
        <v>8649875200</v>
      </c>
      <c r="H550" s="1" t="s">
        <v>2637</v>
      </c>
    </row>
    <row r="551" spans="1:8" x14ac:dyDescent="0.25">
      <c r="A551" s="1" t="str">
        <f>"749  "</f>
        <v xml:space="preserve">749  </v>
      </c>
      <c r="B551" s="1" t="s">
        <v>2641</v>
      </c>
      <c r="C551" s="1" t="s">
        <v>2642</v>
      </c>
      <c r="D551" s="1" t="s">
        <v>2643</v>
      </c>
      <c r="E551" s="1" t="s">
        <v>2644</v>
      </c>
      <c r="F551" s="1" t="str">
        <f>"49501    "</f>
        <v xml:space="preserve">49501    </v>
      </c>
      <c r="G551" s="1" t="str">
        <f>"8002533074"</f>
        <v>8002533074</v>
      </c>
      <c r="H551" s="1" t="s">
        <v>2637</v>
      </c>
    </row>
    <row r="552" spans="1:8" x14ac:dyDescent="0.25">
      <c r="A552" s="1" t="str">
        <f>"905  "</f>
        <v xml:space="preserve">905  </v>
      </c>
      <c r="B552" s="1" t="s">
        <v>2889</v>
      </c>
      <c r="C552" s="1" t="s">
        <v>2890</v>
      </c>
      <c r="D552" s="1" t="s">
        <v>2891</v>
      </c>
      <c r="E552" s="1" t="s">
        <v>2862</v>
      </c>
      <c r="F552" s="1" t="str">
        <f>"68103    "</f>
        <v xml:space="preserve">68103    </v>
      </c>
      <c r="G552" s="1" t="str">
        <f>"8776565425"</f>
        <v>8776565425</v>
      </c>
      <c r="H552" s="1" t="s">
        <v>2760</v>
      </c>
    </row>
    <row r="553" spans="1:8" x14ac:dyDescent="0.25">
      <c r="A553" s="1" t="s">
        <v>2723</v>
      </c>
      <c r="B553" s="1" t="s">
        <v>2724</v>
      </c>
      <c r="C553" s="1" t="s">
        <v>2725</v>
      </c>
      <c r="D553" s="1" t="s">
        <v>2726</v>
      </c>
      <c r="E553" s="1" t="s">
        <v>2647</v>
      </c>
      <c r="F553" s="1" t="str">
        <f>"21702    "</f>
        <v xml:space="preserve">21702    </v>
      </c>
      <c r="G553" s="1" t="str">
        <f>"8004974474"</f>
        <v>8004974474</v>
      </c>
      <c r="H553" s="1" t="s">
        <v>2637</v>
      </c>
    </row>
    <row r="554" spans="1:8" x14ac:dyDescent="0.25">
      <c r="A554" s="1" t="str">
        <f>"183  "</f>
        <v xml:space="preserve">183  </v>
      </c>
      <c r="B554" s="1" t="s">
        <v>90</v>
      </c>
      <c r="C554" s="1" t="s">
        <v>91</v>
      </c>
      <c r="D554" s="1" t="s">
        <v>92</v>
      </c>
      <c r="E554" s="1" t="s">
        <v>2731</v>
      </c>
      <c r="F554" s="1" t="str">
        <f>"70434    "</f>
        <v xml:space="preserve">70434    </v>
      </c>
      <c r="G554" s="1" t="str">
        <f>"8002342643"</f>
        <v>8002342643</v>
      </c>
      <c r="H554" s="1" t="s">
        <v>2637</v>
      </c>
    </row>
    <row r="555" spans="1:8" x14ac:dyDescent="0.25">
      <c r="A555" s="1" t="str">
        <f>"459  "</f>
        <v xml:space="preserve">459  </v>
      </c>
      <c r="B555" s="1" t="s">
        <v>2586</v>
      </c>
      <c r="C555" s="1" t="str">
        <f>"5245 BIG PINE WAY, SE 33907                       "</f>
        <v xml:space="preserve">5245 BIG PINE WAY, SE 33907                       </v>
      </c>
      <c r="D555" s="1" t="s">
        <v>2587</v>
      </c>
      <c r="E555" s="1" t="s">
        <v>2832</v>
      </c>
      <c r="F555" s="1" t="str">
        <f>"33907    "</f>
        <v xml:space="preserve">33907    </v>
      </c>
      <c r="G555" s="1" t="str">
        <f>"8139366242"</f>
        <v>8139366242</v>
      </c>
      <c r="H555" s="1" t="s">
        <v>2637</v>
      </c>
    </row>
    <row r="556" spans="1:8" x14ac:dyDescent="0.25">
      <c r="A556" s="1" t="s">
        <v>223</v>
      </c>
      <c r="B556" s="1" t="s">
        <v>224</v>
      </c>
      <c r="C556" s="1" t="str">
        <f>"7901 SW 36TH ST. STE 100                          "</f>
        <v xml:space="preserve">7901 SW 36TH ST. STE 100                          </v>
      </c>
      <c r="D556" s="1" t="s">
        <v>225</v>
      </c>
      <c r="E556" s="1" t="s">
        <v>2832</v>
      </c>
      <c r="F556" s="1" t="str">
        <f>"33328    "</f>
        <v xml:space="preserve">33328    </v>
      </c>
      <c r="G556" s="1" t="str">
        <f>"9543706404"</f>
        <v>9543706404</v>
      </c>
      <c r="H556" s="1" t="s">
        <v>2760</v>
      </c>
    </row>
    <row r="557" spans="1:8" x14ac:dyDescent="0.25">
      <c r="A557" s="1" t="str">
        <f>"144  "</f>
        <v xml:space="preserve">144  </v>
      </c>
      <c r="B557" s="1" t="s">
        <v>228</v>
      </c>
      <c r="C557" s="1" t="str">
        <f>"204 N. ROBINSON                                   "</f>
        <v xml:space="preserve">204 N. ROBINSON                                   </v>
      </c>
      <c r="D557" s="1" t="s">
        <v>2884</v>
      </c>
      <c r="E557" s="1" t="s">
        <v>2885</v>
      </c>
      <c r="F557" s="1" t="str">
        <f>"73102    "</f>
        <v xml:space="preserve">73102    </v>
      </c>
      <c r="G557" s="1" t="str">
        <f>"4052701400"</f>
        <v>4052701400</v>
      </c>
      <c r="H557" s="1" t="s">
        <v>2637</v>
      </c>
    </row>
    <row r="558" spans="1:8" x14ac:dyDescent="0.25">
      <c r="A558" s="1" t="str">
        <f>"145  "</f>
        <v xml:space="preserve">145  </v>
      </c>
      <c r="B558" s="1" t="s">
        <v>963</v>
      </c>
      <c r="C558" s="1" t="str">
        <f>"5245 BIG PINE WAY SE                              "</f>
        <v xml:space="preserve">5245 BIG PINE WAY SE                              </v>
      </c>
      <c r="D558" s="1" t="s">
        <v>2587</v>
      </c>
      <c r="E558" s="1" t="s">
        <v>2832</v>
      </c>
      <c r="F558" s="1" t="str">
        <f>"33907    "</f>
        <v xml:space="preserve">33907    </v>
      </c>
      <c r="G558" s="1" t="str">
        <f>"9419366242"</f>
        <v>9419366242</v>
      </c>
      <c r="H558" s="1" t="s">
        <v>2637</v>
      </c>
    </row>
    <row r="559" spans="1:8" x14ac:dyDescent="0.25">
      <c r="A559" s="1" t="str">
        <f>"584  "</f>
        <v xml:space="preserve">584  </v>
      </c>
      <c r="B559" s="1" t="s">
        <v>460</v>
      </c>
      <c r="C559" s="1" t="s">
        <v>461</v>
      </c>
      <c r="D559" s="1" t="s">
        <v>2673</v>
      </c>
      <c r="E559" s="1" t="s">
        <v>2674</v>
      </c>
      <c r="F559" s="1" t="str">
        <f>"841310374"</f>
        <v>841310374</v>
      </c>
      <c r="G559" s="1" t="str">
        <f>"6189438000"</f>
        <v>6189438000</v>
      </c>
      <c r="H559" s="1" t="s">
        <v>2637</v>
      </c>
    </row>
    <row r="560" spans="1:8" x14ac:dyDescent="0.25">
      <c r="A560" s="1" t="str">
        <f>"931  "</f>
        <v xml:space="preserve">931  </v>
      </c>
      <c r="B560" s="1" t="s">
        <v>2574</v>
      </c>
      <c r="C560" s="1" t="str">
        <f>"5151 WEST HWY 40                                  "</f>
        <v xml:space="preserve">5151 WEST HWY 40                                  </v>
      </c>
      <c r="D560" s="1" t="s">
        <v>2575</v>
      </c>
      <c r="E560" s="1" t="s">
        <v>2706</v>
      </c>
      <c r="F560" s="1" t="str">
        <f>"46140    "</f>
        <v xml:space="preserve">46140    </v>
      </c>
      <c r="G560" s="1" t="str">
        <f>"3178942000"</f>
        <v>3178942000</v>
      </c>
      <c r="H560" s="1" t="s">
        <v>2637</v>
      </c>
    </row>
    <row r="561" spans="1:8" x14ac:dyDescent="0.25">
      <c r="A561" s="1" t="str">
        <f>"379  "</f>
        <v xml:space="preserve">379  </v>
      </c>
      <c r="B561" s="1" t="s">
        <v>2719</v>
      </c>
      <c r="C561" s="1" t="s">
        <v>2720</v>
      </c>
      <c r="D561" s="1" t="s">
        <v>2721</v>
      </c>
      <c r="E561" s="1" t="s">
        <v>2714</v>
      </c>
      <c r="F561" s="1" t="str">
        <f>"44309    "</f>
        <v xml:space="preserve">44309    </v>
      </c>
      <c r="G561" s="1" t="str">
        <f>"2167966531"</f>
        <v>2167966531</v>
      </c>
      <c r="H561" s="1" t="s">
        <v>2637</v>
      </c>
    </row>
    <row r="562" spans="1:8" x14ac:dyDescent="0.25">
      <c r="A562" s="1" t="str">
        <f>"302  "</f>
        <v xml:space="preserve">302  </v>
      </c>
      <c r="B562" s="1" t="s">
        <v>151</v>
      </c>
      <c r="C562" s="1" t="s">
        <v>152</v>
      </c>
      <c r="D562" s="1" t="s">
        <v>1877</v>
      </c>
      <c r="E562" s="1" t="s">
        <v>2670</v>
      </c>
      <c r="F562" s="1" t="str">
        <f>"640514665"</f>
        <v>640514665</v>
      </c>
      <c r="G562" s="1" t="str">
        <f>"8162575500"</f>
        <v>8162575500</v>
      </c>
      <c r="H562" s="1" t="s">
        <v>2637</v>
      </c>
    </row>
    <row r="563" spans="1:8" x14ac:dyDescent="0.25">
      <c r="A563" s="1" t="s">
        <v>1025</v>
      </c>
      <c r="B563" s="1" t="s">
        <v>1026</v>
      </c>
      <c r="C563" s="1" t="s">
        <v>1027</v>
      </c>
      <c r="D563" s="1" t="s">
        <v>2805</v>
      </c>
      <c r="E563" s="1" t="s">
        <v>2636</v>
      </c>
      <c r="F563" s="1" t="str">
        <f>"787553010"</f>
        <v>787553010</v>
      </c>
      <c r="G563" s="1" t="str">
        <f>"8008802745"</f>
        <v>8008802745</v>
      </c>
      <c r="H563" s="1" t="s">
        <v>2637</v>
      </c>
    </row>
    <row r="564" spans="1:8" x14ac:dyDescent="0.25">
      <c r="A564" s="1" t="str">
        <f>"313  "</f>
        <v xml:space="preserve">313  </v>
      </c>
      <c r="B564" s="1" t="s">
        <v>1771</v>
      </c>
      <c r="C564" s="1" t="str">
        <f>"1000 GREAT WEST DR                                "</f>
        <v xml:space="preserve">1000 GREAT WEST DR                                </v>
      </c>
      <c r="D564" s="1" t="s">
        <v>2669</v>
      </c>
      <c r="E564" s="1" t="s">
        <v>2670</v>
      </c>
      <c r="F564" s="1" t="str">
        <f>"63857    "</f>
        <v xml:space="preserve">63857    </v>
      </c>
      <c r="G564" s="1" t="str">
        <f>"8006638081"</f>
        <v>8006638081</v>
      </c>
      <c r="H564" s="1" t="s">
        <v>2637</v>
      </c>
    </row>
    <row r="565" spans="1:8" x14ac:dyDescent="0.25">
      <c r="A565" s="1" t="str">
        <f>"308  "</f>
        <v xml:space="preserve">308  </v>
      </c>
      <c r="B565" s="1" t="s">
        <v>2668</v>
      </c>
      <c r="C565" s="1" t="str">
        <f>"1000 GREAT WEST DR                                "</f>
        <v xml:space="preserve">1000 GREAT WEST DR                                </v>
      </c>
      <c r="D565" s="1" t="s">
        <v>2669</v>
      </c>
      <c r="E565" s="1" t="s">
        <v>2670</v>
      </c>
      <c r="F565" s="1" t="str">
        <f>"63857    "</f>
        <v xml:space="preserve">63857    </v>
      </c>
      <c r="G565" s="1" t="str">
        <f>"8006638081"</f>
        <v>8006638081</v>
      </c>
      <c r="H565" s="1" t="s">
        <v>2637</v>
      </c>
    </row>
    <row r="566" spans="1:8" x14ac:dyDescent="0.25">
      <c r="A566" s="1" t="str">
        <f>"308DN"</f>
        <v>308DN</v>
      </c>
      <c r="B566" s="1" t="s">
        <v>2668</v>
      </c>
      <c r="C566" s="1" t="s">
        <v>1507</v>
      </c>
      <c r="D566" s="1" t="s">
        <v>1508</v>
      </c>
      <c r="E566" s="1" t="s">
        <v>2749</v>
      </c>
      <c r="F566" s="1" t="str">
        <f>"66701    "</f>
        <v xml:space="preserve">66701    </v>
      </c>
      <c r="G566" s="1" t="str">
        <f>"8776314227"</f>
        <v>8776314227</v>
      </c>
      <c r="H566" s="1" t="s">
        <v>2637</v>
      </c>
    </row>
    <row r="567" spans="1:8" x14ac:dyDescent="0.25">
      <c r="A567" s="1" t="str">
        <f>"121  "</f>
        <v xml:space="preserve">121  </v>
      </c>
      <c r="B567" s="1" t="s">
        <v>1143</v>
      </c>
      <c r="C567" s="1" t="s">
        <v>1144</v>
      </c>
      <c r="D567" s="1" t="s">
        <v>1621</v>
      </c>
      <c r="E567" s="1" t="s">
        <v>2677</v>
      </c>
      <c r="F567" s="1" t="str">
        <f>"28110    "</f>
        <v xml:space="preserve">28110    </v>
      </c>
      <c r="G567" s="1" t="str">
        <f>"7042258887"</f>
        <v>7042258887</v>
      </c>
      <c r="H567" s="1" t="s">
        <v>2637</v>
      </c>
    </row>
    <row r="568" spans="1:8" x14ac:dyDescent="0.25">
      <c r="A568" s="1" t="str">
        <f>"672  "</f>
        <v xml:space="preserve">672  </v>
      </c>
      <c r="B568" s="1" t="s">
        <v>1018</v>
      </c>
      <c r="C568" s="1" t="str">
        <f>"-                                                 "</f>
        <v xml:space="preserve">-                                                 </v>
      </c>
      <c r="D568" s="1" t="str">
        <f>"-                                      "</f>
        <v xml:space="preserve">-                                      </v>
      </c>
      <c r="E568" s="1" t="str">
        <f>"- "</f>
        <v xml:space="preserve">- </v>
      </c>
      <c r="F568" s="1" t="str">
        <f>"-        "</f>
        <v xml:space="preserve">-        </v>
      </c>
      <c r="G568" s="1" t="s">
        <v>2637</v>
      </c>
      <c r="H568" s="1" t="s">
        <v>2637</v>
      </c>
    </row>
    <row r="569" spans="1:8" x14ac:dyDescent="0.25">
      <c r="A569" s="1" t="str">
        <f>"673  "</f>
        <v xml:space="preserve">673  </v>
      </c>
      <c r="B569" s="1" t="s">
        <v>693</v>
      </c>
      <c r="C569" s="1" t="str">
        <f>"-                                                 "</f>
        <v xml:space="preserve">-                                                 </v>
      </c>
      <c r="D569" s="1" t="str">
        <f>"-                                      "</f>
        <v xml:space="preserve">-                                      </v>
      </c>
      <c r="E569" s="1" t="str">
        <f>"- "</f>
        <v xml:space="preserve">- </v>
      </c>
      <c r="F569" s="1" t="str">
        <f>"-        "</f>
        <v xml:space="preserve">-        </v>
      </c>
      <c r="G569" s="1" t="s">
        <v>2637</v>
      </c>
      <c r="H569" s="1" t="s">
        <v>2637</v>
      </c>
    </row>
    <row r="570" spans="1:8" x14ac:dyDescent="0.25">
      <c r="A570" s="1" t="s">
        <v>1754</v>
      </c>
      <c r="B570" s="1" t="s">
        <v>1755</v>
      </c>
      <c r="C570" s="1" t="s">
        <v>1756</v>
      </c>
      <c r="D570" s="1" t="s">
        <v>2871</v>
      </c>
      <c r="E570" s="1" t="s">
        <v>2636</v>
      </c>
      <c r="F570" s="1" t="str">
        <f>"75374    "</f>
        <v xml:space="preserve">75374    </v>
      </c>
      <c r="G570" s="1" t="str">
        <f>"8662063224"</f>
        <v>8662063224</v>
      </c>
      <c r="H570" s="1" t="s">
        <v>2637</v>
      </c>
    </row>
    <row r="571" spans="1:8" x14ac:dyDescent="0.25">
      <c r="A571" s="1" t="str">
        <f>"181  "</f>
        <v xml:space="preserve">181  </v>
      </c>
      <c r="B571" s="1" t="s">
        <v>2003</v>
      </c>
      <c r="C571" s="1" t="str">
        <f>"450 E. REMINGTON RD.                              "</f>
        <v xml:space="preserve">450 E. REMINGTON RD.                              </v>
      </c>
      <c r="D571" s="1" t="s">
        <v>2004</v>
      </c>
      <c r="E571" s="1" t="s">
        <v>2786</v>
      </c>
      <c r="F571" s="1" t="str">
        <f>"60173    "</f>
        <v xml:space="preserve">60173    </v>
      </c>
      <c r="G571" s="1" t="str">
        <f>"8475191880"</f>
        <v>8475191880</v>
      </c>
      <c r="H571" s="1" t="s">
        <v>2637</v>
      </c>
    </row>
    <row r="572" spans="1:8" x14ac:dyDescent="0.25">
      <c r="A572" s="1" t="str">
        <f>"745  "</f>
        <v xml:space="preserve">745  </v>
      </c>
      <c r="B572" s="1" t="s">
        <v>708</v>
      </c>
      <c r="C572" s="1" t="str">
        <f>"1312 BELLONE AVENUE                               "</f>
        <v xml:space="preserve">1312 BELLONE AVENUE                               </v>
      </c>
      <c r="D572" s="1" t="s">
        <v>709</v>
      </c>
      <c r="E572" s="1" t="s">
        <v>2647</v>
      </c>
      <c r="F572" s="1" t="str">
        <f>"21093    "</f>
        <v xml:space="preserve">21093    </v>
      </c>
      <c r="G572" s="1" t="str">
        <f>"8006386085"</f>
        <v>8006386085</v>
      </c>
      <c r="H572" s="1" t="s">
        <v>2637</v>
      </c>
    </row>
    <row r="573" spans="1:8" x14ac:dyDescent="0.25">
      <c r="A573" s="1" t="str">
        <f>"343  "</f>
        <v xml:space="preserve">343  </v>
      </c>
      <c r="B573" s="1" t="s">
        <v>259</v>
      </c>
      <c r="C573" s="1" t="str">
        <f>"70 GRAND AVENUE                                   "</f>
        <v xml:space="preserve">70 GRAND AVENUE                                   </v>
      </c>
      <c r="D573" s="1" t="s">
        <v>260</v>
      </c>
      <c r="E573" s="1" t="s">
        <v>2821</v>
      </c>
      <c r="F573" s="1" t="str">
        <f>"07661    "</f>
        <v xml:space="preserve">07661    </v>
      </c>
      <c r="G573" s="1" t="str">
        <f>"2013433003"</f>
        <v>2013433003</v>
      </c>
      <c r="H573" s="1" t="s">
        <v>2637</v>
      </c>
    </row>
    <row r="574" spans="1:8" x14ac:dyDescent="0.25">
      <c r="A574" s="1" t="str">
        <f>"906  "</f>
        <v xml:space="preserve">906  </v>
      </c>
      <c r="B574" s="1" t="s">
        <v>2436</v>
      </c>
      <c r="C574" s="1" t="s">
        <v>2437</v>
      </c>
      <c r="D574" s="1" t="s">
        <v>2906</v>
      </c>
      <c r="E574" s="1" t="s">
        <v>2677</v>
      </c>
      <c r="F574" s="1" t="str">
        <f>"282071018"</f>
        <v>282071018</v>
      </c>
      <c r="G574" s="1" t="str">
        <f>"8002225790"</f>
        <v>8002225790</v>
      </c>
      <c r="H574" s="1" t="s">
        <v>2637</v>
      </c>
    </row>
    <row r="575" spans="1:8" x14ac:dyDescent="0.25">
      <c r="A575" s="1" t="str">
        <f>"508  "</f>
        <v xml:space="preserve">508  </v>
      </c>
      <c r="B575" s="1" t="s">
        <v>645</v>
      </c>
      <c r="C575" s="1" t="s">
        <v>646</v>
      </c>
      <c r="D575" s="1" t="s">
        <v>2772</v>
      </c>
      <c r="E575" s="1" t="s">
        <v>2773</v>
      </c>
      <c r="F575" s="1" t="str">
        <f>"101163000"</f>
        <v>101163000</v>
      </c>
      <c r="G575" s="1" t="str">
        <f>"2125014444"</f>
        <v>2125014444</v>
      </c>
      <c r="H575" s="1" t="s">
        <v>2637</v>
      </c>
    </row>
    <row r="576" spans="1:8" x14ac:dyDescent="0.25">
      <c r="A576" s="1" t="str">
        <f>"889  "</f>
        <v xml:space="preserve">889  </v>
      </c>
      <c r="B576" s="1" t="s">
        <v>3140</v>
      </c>
      <c r="C576" s="1" t="str">
        <f>"3350 PEACHTREE RD NE SUITE 1040                   "</f>
        <v xml:space="preserve">3350 PEACHTREE RD NE SUITE 1040                   </v>
      </c>
      <c r="D576" s="1" t="s">
        <v>2717</v>
      </c>
      <c r="E576" s="1" t="s">
        <v>2681</v>
      </c>
      <c r="F576" s="1" t="str">
        <f>"30326    "</f>
        <v xml:space="preserve">30326    </v>
      </c>
      <c r="G576" s="1" t="str">
        <f>"8006210683"</f>
        <v>8006210683</v>
      </c>
      <c r="H576" s="1" t="s">
        <v>2637</v>
      </c>
    </row>
    <row r="577" spans="1:8" x14ac:dyDescent="0.25">
      <c r="A577" s="1" t="str">
        <f>"889DN"</f>
        <v>889DN</v>
      </c>
      <c r="B577" s="1" t="s">
        <v>3140</v>
      </c>
      <c r="C577" s="1" t="str">
        <f>"3350 PEACHTREE RD NE SUITE 1040                   "</f>
        <v xml:space="preserve">3350 PEACHTREE RD NE SUITE 1040                   </v>
      </c>
      <c r="D577" s="1" t="s">
        <v>2717</v>
      </c>
      <c r="E577" s="1" t="s">
        <v>2681</v>
      </c>
      <c r="F577" s="1" t="str">
        <f>"30326    "</f>
        <v xml:space="preserve">30326    </v>
      </c>
      <c r="G577" s="1" t="str">
        <f>"8006210683"</f>
        <v>8006210683</v>
      </c>
      <c r="H577" s="1" t="s">
        <v>2637</v>
      </c>
    </row>
    <row r="578" spans="1:8" x14ac:dyDescent="0.25">
      <c r="A578" s="1" t="str">
        <f>"389  "</f>
        <v xml:space="preserve">389  </v>
      </c>
      <c r="B578" s="1" t="s">
        <v>563</v>
      </c>
      <c r="C578" s="1" t="s">
        <v>564</v>
      </c>
      <c r="D578" s="1" t="s">
        <v>2705</v>
      </c>
      <c r="E578" s="1" t="s">
        <v>2706</v>
      </c>
      <c r="F578" s="1" t="str">
        <f>"46220    "</f>
        <v xml:space="preserve">46220    </v>
      </c>
      <c r="G578" s="1" t="str">
        <f>"8003597408"</f>
        <v>8003597408</v>
      </c>
      <c r="H578" s="1" t="s">
        <v>2637</v>
      </c>
    </row>
    <row r="579" spans="1:8" x14ac:dyDescent="0.25">
      <c r="A579" s="1" t="s">
        <v>1435</v>
      </c>
      <c r="B579" s="1" t="s">
        <v>1436</v>
      </c>
      <c r="C579" s="1" t="s">
        <v>1437</v>
      </c>
      <c r="D579" s="1" t="s">
        <v>2867</v>
      </c>
      <c r="E579" s="1" t="s">
        <v>2681</v>
      </c>
      <c r="F579" s="1" t="str">
        <f>"300969343"</f>
        <v>300969343</v>
      </c>
      <c r="G579" s="1" t="str">
        <f>"7706238383"</f>
        <v>7706238383</v>
      </c>
      <c r="H579" s="1" t="s">
        <v>2637</v>
      </c>
    </row>
    <row r="580" spans="1:8" x14ac:dyDescent="0.25">
      <c r="A580" s="1" t="s">
        <v>2974</v>
      </c>
      <c r="B580" s="1" t="s">
        <v>2975</v>
      </c>
      <c r="C580" s="1" t="s">
        <v>2976</v>
      </c>
      <c r="D580" s="1" t="s">
        <v>2977</v>
      </c>
      <c r="E580" s="1" t="s">
        <v>2858</v>
      </c>
      <c r="F580" s="1" t="str">
        <f>"98124    "</f>
        <v xml:space="preserve">98124    </v>
      </c>
      <c r="G580" s="1" t="str">
        <f>"8887674670"</f>
        <v>8887674670</v>
      </c>
      <c r="H580" s="1" t="s">
        <v>2795</v>
      </c>
    </row>
    <row r="581" spans="1:8" x14ac:dyDescent="0.25">
      <c r="A581" s="1" t="str">
        <f>"727  "</f>
        <v xml:space="preserve">727  </v>
      </c>
      <c r="B581" s="1" t="s">
        <v>2187</v>
      </c>
      <c r="C581" s="1" t="str">
        <f>"8801 INDIAN HILLS DRIVE                           "</f>
        <v xml:space="preserve">8801 INDIAN HILLS DRIVE                           </v>
      </c>
      <c r="D581" s="1" t="s">
        <v>2891</v>
      </c>
      <c r="E581" s="1" t="s">
        <v>2862</v>
      </c>
      <c r="F581" s="1" t="str">
        <f>"68114    "</f>
        <v xml:space="preserve">68114    </v>
      </c>
      <c r="G581" s="1" t="str">
        <f>"8004624660"</f>
        <v>8004624660</v>
      </c>
      <c r="H581" s="1" t="s">
        <v>2637</v>
      </c>
    </row>
    <row r="582" spans="1:8" x14ac:dyDescent="0.25">
      <c r="A582" s="1" t="str">
        <f>"236  "</f>
        <v xml:space="preserve">236  </v>
      </c>
      <c r="B582" s="1" t="s">
        <v>475</v>
      </c>
      <c r="C582" s="1" t="str">
        <f>"1275 MILWAUKEE AVENUE                             "</f>
        <v xml:space="preserve">1275 MILWAUKEE AVENUE                             </v>
      </c>
      <c r="D582" s="1" t="s">
        <v>476</v>
      </c>
      <c r="E582" s="1" t="s">
        <v>2786</v>
      </c>
      <c r="F582" s="1" t="s">
        <v>2637</v>
      </c>
      <c r="G582" s="1" t="str">
        <f>"8476990600"</f>
        <v>8476990600</v>
      </c>
      <c r="H582" s="1" t="s">
        <v>2637</v>
      </c>
    </row>
    <row r="583" spans="1:8" x14ac:dyDescent="0.25">
      <c r="A583" s="1" t="str">
        <f>"283  "</f>
        <v xml:space="preserve">283  </v>
      </c>
      <c r="B583" s="1" t="s">
        <v>2081</v>
      </c>
      <c r="C583" s="1" t="s">
        <v>2082</v>
      </c>
      <c r="D583" s="1" t="s">
        <v>2083</v>
      </c>
      <c r="E583" s="1" t="s">
        <v>2697</v>
      </c>
      <c r="F583" s="1" t="str">
        <f>"77010    "</f>
        <v xml:space="preserve">77010    </v>
      </c>
      <c r="G583" s="1" t="str">
        <f>"8668501256"</f>
        <v>8668501256</v>
      </c>
      <c r="H583" s="1" t="s">
        <v>2795</v>
      </c>
    </row>
    <row r="584" spans="1:8" x14ac:dyDescent="0.25">
      <c r="A584" s="1" t="str">
        <f>"362  "</f>
        <v xml:space="preserve">362  </v>
      </c>
      <c r="B584" s="1" t="s">
        <v>2081</v>
      </c>
      <c r="C584" s="1" t="s">
        <v>2082</v>
      </c>
      <c r="D584" s="1" t="s">
        <v>2083</v>
      </c>
      <c r="E584" s="1" t="s">
        <v>2697</v>
      </c>
      <c r="F584" s="1" t="str">
        <f>"18505    "</f>
        <v xml:space="preserve">18505    </v>
      </c>
      <c r="G584" s="1" t="str">
        <f>"8668501253"</f>
        <v>8668501253</v>
      </c>
      <c r="H584" s="1" t="s">
        <v>2795</v>
      </c>
    </row>
    <row r="585" spans="1:8" x14ac:dyDescent="0.25">
      <c r="A585" s="1" t="str">
        <f>"418  "</f>
        <v xml:space="preserve">418  </v>
      </c>
      <c r="B585" s="1" t="s">
        <v>570</v>
      </c>
      <c r="C585" s="1" t="s">
        <v>571</v>
      </c>
      <c r="D585" s="1" t="s">
        <v>2666</v>
      </c>
      <c r="E585" s="1" t="s">
        <v>2667</v>
      </c>
      <c r="F585" s="1" t="str">
        <f>"549128007"</f>
        <v>549128007</v>
      </c>
      <c r="G585" s="1" t="str">
        <f>"8006854542"</f>
        <v>8006854542</v>
      </c>
      <c r="H585" s="1" t="s">
        <v>2688</v>
      </c>
    </row>
    <row r="586" spans="1:8" x14ac:dyDescent="0.25">
      <c r="A586" s="1" t="str">
        <f>"237DN"</f>
        <v>237DN</v>
      </c>
      <c r="B586" s="1" t="s">
        <v>1271</v>
      </c>
      <c r="C586" s="1" t="s">
        <v>1272</v>
      </c>
      <c r="D586" s="1" t="s">
        <v>1066</v>
      </c>
      <c r="E586" s="1" t="s">
        <v>2858</v>
      </c>
      <c r="F586" s="1" t="str">
        <f>"99210    "</f>
        <v xml:space="preserve">99210    </v>
      </c>
      <c r="G586" s="1" t="str">
        <f>"8005417846"</f>
        <v>8005417846</v>
      </c>
      <c r="H586" s="1" t="s">
        <v>2637</v>
      </c>
    </row>
    <row r="587" spans="1:8" x14ac:dyDescent="0.25">
      <c r="A587" s="1" t="str">
        <f>"237  "</f>
        <v xml:space="preserve">237  </v>
      </c>
      <c r="B587" s="1" t="s">
        <v>2664</v>
      </c>
      <c r="C587" s="1" t="s">
        <v>2665</v>
      </c>
      <c r="D587" s="1" t="s">
        <v>2666</v>
      </c>
      <c r="E587" s="1" t="s">
        <v>2667</v>
      </c>
      <c r="F587" s="1" t="str">
        <f>"54913    "</f>
        <v xml:space="preserve">54913    </v>
      </c>
      <c r="G587" s="1" t="str">
        <f>"8008734542"</f>
        <v>8008734542</v>
      </c>
      <c r="H587" s="1" t="s">
        <v>2637</v>
      </c>
    </row>
    <row r="588" spans="1:8" x14ac:dyDescent="0.25">
      <c r="A588" s="1" t="str">
        <f>"176  "</f>
        <v xml:space="preserve">176  </v>
      </c>
      <c r="B588" s="1" t="s">
        <v>1220</v>
      </c>
      <c r="C588" s="1" t="s">
        <v>1221</v>
      </c>
      <c r="D588" s="1" t="s">
        <v>3085</v>
      </c>
      <c r="E588" s="1" t="s">
        <v>3086</v>
      </c>
      <c r="F588" s="1" t="str">
        <f>"35238    "</f>
        <v xml:space="preserve">35238    </v>
      </c>
      <c r="G588" s="1" t="str">
        <f>"8005956949"</f>
        <v>8005956949</v>
      </c>
      <c r="H588" s="1" t="s">
        <v>2637</v>
      </c>
    </row>
    <row r="589" spans="1:8" x14ac:dyDescent="0.25">
      <c r="A589" s="1" t="str">
        <f>"674  "</f>
        <v xml:space="preserve">674  </v>
      </c>
      <c r="B589" s="1" t="s">
        <v>1973</v>
      </c>
      <c r="C589" s="1" t="str">
        <f>"-                                                 "</f>
        <v xml:space="preserve">-                                                 </v>
      </c>
      <c r="D589" s="1" t="str">
        <f>"-                                      "</f>
        <v xml:space="preserve">-                                      </v>
      </c>
      <c r="E589" s="1" t="str">
        <f>"- "</f>
        <v xml:space="preserve">- </v>
      </c>
      <c r="F589" s="1" t="str">
        <f>"-        "</f>
        <v xml:space="preserve">-        </v>
      </c>
      <c r="G589" s="1" t="s">
        <v>2637</v>
      </c>
      <c r="H589" s="1" t="s">
        <v>2637</v>
      </c>
    </row>
    <row r="590" spans="1:8" x14ac:dyDescent="0.25">
      <c r="A590" s="1" t="s">
        <v>2011</v>
      </c>
      <c r="B590" s="1" t="s">
        <v>2012</v>
      </c>
      <c r="C590" s="1" t="str">
        <f>"742 PEACHOID ROAD                                 "</f>
        <v xml:space="preserve">742 PEACHOID ROAD                                 </v>
      </c>
      <c r="D590" s="1" t="s">
        <v>2013</v>
      </c>
      <c r="E590" s="1" t="s">
        <v>2660</v>
      </c>
      <c r="F590" s="1" t="str">
        <f>"29340    "</f>
        <v xml:space="preserve">29340    </v>
      </c>
      <c r="G590" s="1" t="str">
        <f>"8644877505"</f>
        <v>8644877505</v>
      </c>
      <c r="H590" s="1" t="s">
        <v>2637</v>
      </c>
    </row>
    <row r="591" spans="1:8" x14ac:dyDescent="0.25">
      <c r="A591" s="1" t="str">
        <f>"547  "</f>
        <v xml:space="preserve">547  </v>
      </c>
      <c r="B591" s="1" t="s">
        <v>238</v>
      </c>
      <c r="C591" s="1" t="s">
        <v>239</v>
      </c>
      <c r="D591" s="1" t="s">
        <v>2673</v>
      </c>
      <c r="E591" s="1" t="s">
        <v>2674</v>
      </c>
      <c r="F591" s="1" t="str">
        <f>"841300544"</f>
        <v>841300544</v>
      </c>
      <c r="G591" s="1" t="str">
        <f>"8777370769"</f>
        <v>8777370769</v>
      </c>
      <c r="H591" s="1" t="s">
        <v>2637</v>
      </c>
    </row>
    <row r="592" spans="1:8" x14ac:dyDescent="0.25">
      <c r="A592" s="1" t="str">
        <f>"146  "</f>
        <v xml:space="preserve">146  </v>
      </c>
      <c r="B592" s="1" t="s">
        <v>1367</v>
      </c>
      <c r="C592" s="1" t="s">
        <v>1368</v>
      </c>
      <c r="D592" s="1" t="s">
        <v>2906</v>
      </c>
      <c r="E592" s="1" t="s">
        <v>2677</v>
      </c>
      <c r="F592" s="1" t="str">
        <f>"28212    "</f>
        <v xml:space="preserve">28212    </v>
      </c>
      <c r="G592" s="1" t="str">
        <f>"7045366230"</f>
        <v>7045366230</v>
      </c>
      <c r="H592" s="1" t="s">
        <v>2637</v>
      </c>
    </row>
    <row r="593" spans="1:8" x14ac:dyDescent="0.25">
      <c r="A593" s="1" t="str">
        <f>"197  "</f>
        <v xml:space="preserve">197  </v>
      </c>
      <c r="B593" s="1" t="s">
        <v>572</v>
      </c>
      <c r="C593" s="1" t="str">
        <f>"505 S LENOLA RD, SUITE 231                        "</f>
        <v xml:space="preserve">505 S LENOLA RD, SUITE 231                        </v>
      </c>
      <c r="D593" s="1" t="s">
        <v>2391</v>
      </c>
      <c r="E593" s="1" t="s">
        <v>2821</v>
      </c>
      <c r="F593" s="1" t="str">
        <f>"08057    "</f>
        <v xml:space="preserve">08057    </v>
      </c>
      <c r="G593" s="1" t="str">
        <f>"866-375-07"</f>
        <v>866-375-07</v>
      </c>
      <c r="H593" s="1" t="s">
        <v>2637</v>
      </c>
    </row>
    <row r="594" spans="1:8" x14ac:dyDescent="0.25">
      <c r="A594" s="1" t="str">
        <f>"162  "</f>
        <v xml:space="preserve">162  </v>
      </c>
      <c r="B594" s="1" t="s">
        <v>166</v>
      </c>
      <c r="C594" s="1" t="s">
        <v>167</v>
      </c>
      <c r="D594" s="1" t="s">
        <v>2985</v>
      </c>
      <c r="E594" s="1" t="s">
        <v>2636</v>
      </c>
      <c r="F594" s="1" t="str">
        <f>"82655    "</f>
        <v xml:space="preserve">82655    </v>
      </c>
      <c r="G594" s="1" t="str">
        <f>"8004213550"</f>
        <v>8004213550</v>
      </c>
      <c r="H594" s="1" t="s">
        <v>2760</v>
      </c>
    </row>
    <row r="595" spans="1:8" x14ac:dyDescent="0.25">
      <c r="A595" s="1" t="s">
        <v>1140</v>
      </c>
      <c r="B595" s="1" t="s">
        <v>1141</v>
      </c>
      <c r="C595" s="1" t="s">
        <v>1142</v>
      </c>
      <c r="D595" s="1" t="s">
        <v>2705</v>
      </c>
      <c r="E595" s="1" t="s">
        <v>2706</v>
      </c>
      <c r="F595" s="1" t="str">
        <f>"46206    "</f>
        <v xml:space="preserve">46206    </v>
      </c>
      <c r="G595" s="1" t="str">
        <f>"8664007102"</f>
        <v>8664007102</v>
      </c>
      <c r="H595" s="1" t="s">
        <v>2637</v>
      </c>
    </row>
    <row r="596" spans="1:8" x14ac:dyDescent="0.25">
      <c r="A596" s="1" t="str">
        <f>"201  "</f>
        <v xml:space="preserve">201  </v>
      </c>
      <c r="B596" s="1" t="s">
        <v>2875</v>
      </c>
      <c r="C596" s="1" t="s">
        <v>2876</v>
      </c>
      <c r="D596" s="1" t="s">
        <v>2877</v>
      </c>
      <c r="E596" s="1" t="s">
        <v>2786</v>
      </c>
      <c r="F596" s="1" t="str">
        <f>"61656    "</f>
        <v xml:space="preserve">61656    </v>
      </c>
      <c r="G596" s="1" t="str">
        <f>"8003221516"</f>
        <v>8003221516</v>
      </c>
      <c r="H596" s="1" t="s">
        <v>2637</v>
      </c>
    </row>
    <row r="597" spans="1:8" x14ac:dyDescent="0.25">
      <c r="A597" s="1" t="str">
        <f>"201DN"</f>
        <v>201DN</v>
      </c>
      <c r="B597" s="1" t="s">
        <v>2875</v>
      </c>
      <c r="C597" s="1" t="s">
        <v>2876</v>
      </c>
      <c r="D597" s="1" t="s">
        <v>2877</v>
      </c>
      <c r="E597" s="1" t="s">
        <v>2786</v>
      </c>
      <c r="F597" s="1" t="str">
        <f>"61656    "</f>
        <v xml:space="preserve">61656    </v>
      </c>
      <c r="G597" s="1" t="str">
        <f>"8003221516"</f>
        <v>8003221516</v>
      </c>
      <c r="H597" s="1" t="s">
        <v>2637</v>
      </c>
    </row>
    <row r="598" spans="1:8" x14ac:dyDescent="0.25">
      <c r="A598" s="1" t="s">
        <v>651</v>
      </c>
      <c r="B598" s="1" t="s">
        <v>652</v>
      </c>
      <c r="C598" s="1" t="s">
        <v>2551</v>
      </c>
      <c r="D598" s="1" t="s">
        <v>2710</v>
      </c>
      <c r="E598" s="1" t="s">
        <v>2660</v>
      </c>
      <c r="F598" s="1" t="str">
        <f>"29606    "</f>
        <v xml:space="preserve">29606    </v>
      </c>
      <c r="G598" s="1" t="str">
        <f>"8004765150"</f>
        <v>8004765150</v>
      </c>
      <c r="H598" s="1" t="s">
        <v>2735</v>
      </c>
    </row>
    <row r="599" spans="1:8" x14ac:dyDescent="0.25">
      <c r="A599" s="1" t="str">
        <f>"837  "</f>
        <v xml:space="preserve">837  </v>
      </c>
      <c r="B599" s="1" t="s">
        <v>1527</v>
      </c>
      <c r="C599" s="1" t="s">
        <v>1528</v>
      </c>
      <c r="D599" s="1" t="s">
        <v>2635</v>
      </c>
      <c r="E599" s="1" t="s">
        <v>2636</v>
      </c>
      <c r="F599" s="1" t="str">
        <f>"77267    "</f>
        <v xml:space="preserve">77267    </v>
      </c>
      <c r="G599" s="1" t="str">
        <f>"8008655440"</f>
        <v>8008655440</v>
      </c>
      <c r="H599" s="1" t="s">
        <v>2637</v>
      </c>
    </row>
    <row r="600" spans="1:8" x14ac:dyDescent="0.25">
      <c r="A600" s="1" t="s">
        <v>525</v>
      </c>
      <c r="B600" s="1" t="s">
        <v>526</v>
      </c>
      <c r="C600" s="1" t="s">
        <v>527</v>
      </c>
      <c r="D600" s="1" t="s">
        <v>528</v>
      </c>
      <c r="E600" s="1" t="s">
        <v>2786</v>
      </c>
      <c r="F600" s="1" t="str">
        <f>"616036003"</f>
        <v>616036003</v>
      </c>
      <c r="G600" s="1" t="str">
        <f>"8003227451"</f>
        <v>8003227451</v>
      </c>
      <c r="H600" s="1" t="s">
        <v>2637</v>
      </c>
    </row>
    <row r="601" spans="1:8" x14ac:dyDescent="0.25">
      <c r="A601" s="1" t="str">
        <f>"823  "</f>
        <v xml:space="preserve">823  </v>
      </c>
      <c r="B601" s="1" t="s">
        <v>2872</v>
      </c>
      <c r="C601" s="1" t="str">
        <f>"2850 W GRAND BLVD                                 "</f>
        <v xml:space="preserve">2850 W GRAND BLVD                                 </v>
      </c>
      <c r="D601" s="1" t="s">
        <v>2657</v>
      </c>
      <c r="E601" s="1" t="s">
        <v>2644</v>
      </c>
      <c r="F601" s="1" t="str">
        <f>"495254501"</f>
        <v>495254501</v>
      </c>
      <c r="G601" s="1" t="str">
        <f>"8004224641"</f>
        <v>8004224641</v>
      </c>
      <c r="H601" s="1" t="s">
        <v>2648</v>
      </c>
    </row>
    <row r="602" spans="1:8" x14ac:dyDescent="0.25">
      <c r="A602" s="1" t="str">
        <f>"264  "</f>
        <v xml:space="preserve">264  </v>
      </c>
      <c r="B602" s="1" t="s">
        <v>3204</v>
      </c>
      <c r="C602" s="1" t="s">
        <v>3205</v>
      </c>
      <c r="D602" s="1" t="s">
        <v>2791</v>
      </c>
      <c r="E602" s="1" t="s">
        <v>2744</v>
      </c>
      <c r="F602" s="1" t="str">
        <f>"40742    "</f>
        <v xml:space="preserve">40742    </v>
      </c>
      <c r="G602" s="1" t="str">
        <f>"8007888445"</f>
        <v>8007888445</v>
      </c>
      <c r="H602" s="1" t="s">
        <v>2637</v>
      </c>
    </row>
    <row r="603" spans="1:8" x14ac:dyDescent="0.25">
      <c r="A603" s="1" t="s">
        <v>1979</v>
      </c>
      <c r="B603" s="1" t="s">
        <v>1980</v>
      </c>
      <c r="C603" s="1" t="s">
        <v>1981</v>
      </c>
      <c r="D603" s="1" t="s">
        <v>2717</v>
      </c>
      <c r="E603" s="1" t="s">
        <v>2681</v>
      </c>
      <c r="F603" s="1" t="str">
        <f>"30310    "</f>
        <v xml:space="preserve">30310    </v>
      </c>
      <c r="G603" s="1" t="str">
        <f>"4047555665"</f>
        <v>4047555665</v>
      </c>
      <c r="H603" s="1" t="s">
        <v>2637</v>
      </c>
    </row>
    <row r="604" spans="1:8" x14ac:dyDescent="0.25">
      <c r="A604" s="1" t="s">
        <v>1524</v>
      </c>
      <c r="B604" s="1" t="s">
        <v>1525</v>
      </c>
      <c r="C604" s="1" t="str">
        <f>"203 JANDERS ROAD                                  "</f>
        <v xml:space="preserve">203 JANDERS ROAD                                  </v>
      </c>
      <c r="D604" s="1" t="s">
        <v>1526</v>
      </c>
      <c r="E604" s="1" t="s">
        <v>2786</v>
      </c>
      <c r="F604" s="1" t="str">
        <f>"60013    "</f>
        <v xml:space="preserve">60013    </v>
      </c>
      <c r="G604" s="1" t="s">
        <v>2637</v>
      </c>
      <c r="H604" s="1" t="s">
        <v>2735</v>
      </c>
    </row>
    <row r="605" spans="1:8" x14ac:dyDescent="0.25">
      <c r="A605" s="1" t="str">
        <f>"713  "</f>
        <v xml:space="preserve">713  </v>
      </c>
      <c r="B605" s="1" t="s">
        <v>3079</v>
      </c>
      <c r="C605" s="1" t="s">
        <v>3080</v>
      </c>
      <c r="D605" s="1" t="s">
        <v>3081</v>
      </c>
      <c r="E605" s="1" t="s">
        <v>2636</v>
      </c>
      <c r="F605" s="1" t="str">
        <f>"750260957"</f>
        <v>750260957</v>
      </c>
      <c r="G605" s="1" t="str">
        <f>"8663736366"</f>
        <v>8663736366</v>
      </c>
      <c r="H605" s="1" t="s">
        <v>2760</v>
      </c>
    </row>
    <row r="606" spans="1:8" x14ac:dyDescent="0.25">
      <c r="A606" s="1" t="str">
        <f>"748  "</f>
        <v xml:space="preserve">748  </v>
      </c>
      <c r="B606" s="1" t="s">
        <v>778</v>
      </c>
      <c r="C606" s="1" t="str">
        <f>"4530 PARK RD                                      "</f>
        <v xml:space="preserve">4530 PARK RD                                      </v>
      </c>
      <c r="D606" s="1" t="s">
        <v>2906</v>
      </c>
      <c r="E606" s="1" t="s">
        <v>2677</v>
      </c>
      <c r="F606" s="1" t="str">
        <f>"28209    "</f>
        <v xml:space="preserve">28209    </v>
      </c>
      <c r="G606" s="1" t="str">
        <f>"-         "</f>
        <v xml:space="preserve">-         </v>
      </c>
      <c r="H606" s="1" t="s">
        <v>2688</v>
      </c>
    </row>
    <row r="607" spans="1:8" x14ac:dyDescent="0.25">
      <c r="A607" s="1" t="str">
        <f>"203  "</f>
        <v xml:space="preserve">203  </v>
      </c>
      <c r="B607" s="1" t="s">
        <v>1075</v>
      </c>
      <c r="C607" s="1" t="str">
        <f>"29 COLUMBIA HEIGHTS                               "</f>
        <v xml:space="preserve">29 COLUMBIA HEIGHTS                               </v>
      </c>
      <c r="D607" s="1" t="s">
        <v>2927</v>
      </c>
      <c r="E607" s="1" t="s">
        <v>2773</v>
      </c>
      <c r="F607" s="1" t="str">
        <f>"11201    "</f>
        <v xml:space="preserve">11201    </v>
      </c>
      <c r="G607" s="1" t="str">
        <f>"8005544022"</f>
        <v>8005544022</v>
      </c>
      <c r="H607" s="1" t="s">
        <v>2688</v>
      </c>
    </row>
    <row r="608" spans="1:8" x14ac:dyDescent="0.25">
      <c r="A608" s="1" t="str">
        <f>"562  "</f>
        <v xml:space="preserve">562  </v>
      </c>
      <c r="B608" s="1" t="s">
        <v>945</v>
      </c>
      <c r="C608" s="1" t="s">
        <v>946</v>
      </c>
      <c r="D608" s="1" t="s">
        <v>947</v>
      </c>
      <c r="E608" s="1" t="s">
        <v>2832</v>
      </c>
      <c r="F608" s="1" t="str">
        <f>"33442    "</f>
        <v xml:space="preserve">33442    </v>
      </c>
      <c r="G608" s="1" t="str">
        <f>"8002223560"</f>
        <v>8002223560</v>
      </c>
      <c r="H608" s="1" t="s">
        <v>2637</v>
      </c>
    </row>
    <row r="609" spans="1:8" x14ac:dyDescent="0.25">
      <c r="A609" s="1" t="s">
        <v>3087</v>
      </c>
      <c r="B609" s="1" t="s">
        <v>3088</v>
      </c>
      <c r="C609" s="1" t="s">
        <v>3089</v>
      </c>
      <c r="D609" s="1" t="s">
        <v>3090</v>
      </c>
      <c r="E609" s="1" t="s">
        <v>2970</v>
      </c>
      <c r="F609" s="1" t="str">
        <f>"37077    "</f>
        <v xml:space="preserve">37077    </v>
      </c>
      <c r="G609" s="1" t="str">
        <f>"8882295020"</f>
        <v>8882295020</v>
      </c>
      <c r="H609" s="1" t="s">
        <v>3091</v>
      </c>
    </row>
    <row r="610" spans="1:8" x14ac:dyDescent="0.25">
      <c r="A610" s="1" t="s">
        <v>1358</v>
      </c>
      <c r="B610" s="1" t="s">
        <v>1359</v>
      </c>
      <c r="C610" s="1" t="s">
        <v>1360</v>
      </c>
      <c r="D610" s="1" t="s">
        <v>1361</v>
      </c>
      <c r="E610" s="1" t="s">
        <v>2714</v>
      </c>
      <c r="F610" s="1" t="str">
        <f>"442362584"</f>
        <v>442362584</v>
      </c>
      <c r="G610" s="1" t="str">
        <f>"8008930777"</f>
        <v>8008930777</v>
      </c>
      <c r="H610" s="1" t="s">
        <v>2637</v>
      </c>
    </row>
    <row r="611" spans="1:8" x14ac:dyDescent="0.25">
      <c r="A611" s="1" t="str">
        <f>"960  "</f>
        <v xml:space="preserve">960  </v>
      </c>
      <c r="B611" s="1" t="s">
        <v>448</v>
      </c>
      <c r="C611" s="1" t="s">
        <v>449</v>
      </c>
      <c r="D611" s="1" t="s">
        <v>450</v>
      </c>
      <c r="E611" s="1" t="s">
        <v>2667</v>
      </c>
      <c r="F611" s="1" t="str">
        <f>"541156090"</f>
        <v>541156090</v>
      </c>
      <c r="G611" s="1" t="str">
        <f>"8004355694"</f>
        <v>8004355694</v>
      </c>
      <c r="H611" s="1" t="s">
        <v>451</v>
      </c>
    </row>
    <row r="612" spans="1:8" x14ac:dyDescent="0.25">
      <c r="A612" s="1" t="str">
        <f>"286  "</f>
        <v xml:space="preserve">286  </v>
      </c>
      <c r="B612" s="1" t="s">
        <v>2733</v>
      </c>
      <c r="C612" s="1" t="s">
        <v>2734</v>
      </c>
      <c r="D612" s="1" t="s">
        <v>2685</v>
      </c>
      <c r="E612" s="1" t="s">
        <v>2670</v>
      </c>
      <c r="F612" s="1" t="str">
        <f>"64116    "</f>
        <v xml:space="preserve">64116    </v>
      </c>
      <c r="G612" s="1" t="str">
        <f>"8002314015"</f>
        <v>8002314015</v>
      </c>
      <c r="H612" s="1" t="s">
        <v>2735</v>
      </c>
    </row>
    <row r="613" spans="1:8" x14ac:dyDescent="0.25">
      <c r="A613" s="1" t="s">
        <v>549</v>
      </c>
      <c r="B613" s="1" t="s">
        <v>550</v>
      </c>
      <c r="C613" s="1" t="s">
        <v>551</v>
      </c>
      <c r="D613" s="1" t="s">
        <v>2710</v>
      </c>
      <c r="E613" s="1" t="s">
        <v>2660</v>
      </c>
      <c r="F613" s="1" t="str">
        <f>"29606    "</f>
        <v xml:space="preserve">29606    </v>
      </c>
      <c r="G613" s="1" t="str">
        <f>"8642893000"</f>
        <v>8642893000</v>
      </c>
      <c r="H613" s="1" t="s">
        <v>2637</v>
      </c>
    </row>
    <row r="614" spans="1:8" x14ac:dyDescent="0.25">
      <c r="A614" s="1" t="str">
        <f>"884  "</f>
        <v xml:space="preserve">884  </v>
      </c>
      <c r="B614" s="1" t="s">
        <v>861</v>
      </c>
      <c r="C614" s="1" t="s">
        <v>862</v>
      </c>
      <c r="D614" s="1" t="s">
        <v>863</v>
      </c>
      <c r="E614" s="1" t="s">
        <v>2832</v>
      </c>
      <c r="F614" s="1" t="str">
        <f>"329565001"</f>
        <v>329565001</v>
      </c>
      <c r="G614" s="1" t="str">
        <f>"8007167737"</f>
        <v>8007167737</v>
      </c>
      <c r="H614" s="1" t="s">
        <v>2735</v>
      </c>
    </row>
    <row r="615" spans="1:8" x14ac:dyDescent="0.25">
      <c r="A615" s="1" t="str">
        <f>"447  "</f>
        <v xml:space="preserve">447  </v>
      </c>
      <c r="B615" s="1" t="s">
        <v>1099</v>
      </c>
      <c r="C615" s="1" t="s">
        <v>1100</v>
      </c>
      <c r="D615" s="1" t="s">
        <v>2794</v>
      </c>
      <c r="E615" s="1" t="s">
        <v>2744</v>
      </c>
      <c r="F615" s="1" t="str">
        <f>"405125225"</f>
        <v>405125225</v>
      </c>
      <c r="G615" s="1" t="str">
        <f>"9004387886"</f>
        <v>9004387886</v>
      </c>
      <c r="H615" s="1" t="s">
        <v>2795</v>
      </c>
    </row>
    <row r="616" spans="1:8" x14ac:dyDescent="0.25">
      <c r="A616" s="1" t="str">
        <f>"874  "</f>
        <v xml:space="preserve">874  </v>
      </c>
      <c r="B616" s="1" t="s">
        <v>1099</v>
      </c>
      <c r="C616" s="1" t="s">
        <v>1100</v>
      </c>
      <c r="D616" s="1" t="s">
        <v>2794</v>
      </c>
      <c r="E616" s="1" t="s">
        <v>2744</v>
      </c>
      <c r="F616" s="1" t="str">
        <f>"40512    "</f>
        <v xml:space="preserve">40512    </v>
      </c>
      <c r="G616" s="1" t="str">
        <f>"8887477823"</f>
        <v>8887477823</v>
      </c>
      <c r="H616" s="1" t="s">
        <v>1101</v>
      </c>
    </row>
    <row r="617" spans="1:8" x14ac:dyDescent="0.25">
      <c r="A617" s="1" t="str">
        <f>"281  "</f>
        <v xml:space="preserve">281  </v>
      </c>
      <c r="B617" s="1" t="s">
        <v>220</v>
      </c>
      <c r="C617" s="1" t="s">
        <v>221</v>
      </c>
      <c r="D617" s="1" t="s">
        <v>222</v>
      </c>
      <c r="E617" s="1" t="s">
        <v>2821</v>
      </c>
      <c r="F617" s="1" t="str">
        <f>"07724    "</f>
        <v xml:space="preserve">07724    </v>
      </c>
      <c r="G617" s="1" t="str">
        <f>"8003371421"</f>
        <v>8003371421</v>
      </c>
      <c r="H617" s="1" t="s">
        <v>2688</v>
      </c>
    </row>
    <row r="618" spans="1:8" x14ac:dyDescent="0.25">
      <c r="A618" s="1" t="str">
        <f>"220  "</f>
        <v xml:space="preserve">220  </v>
      </c>
      <c r="B618" s="1" t="s">
        <v>1971</v>
      </c>
      <c r="C618" s="1" t="s">
        <v>1972</v>
      </c>
      <c r="D618" s="1" t="s">
        <v>2397</v>
      </c>
      <c r="E618" s="1" t="s">
        <v>3118</v>
      </c>
      <c r="F618" s="1" t="str">
        <f>"011441500"</f>
        <v>011441500</v>
      </c>
      <c r="G618" s="1" t="str">
        <f>"8003102835"</f>
        <v>8003102835</v>
      </c>
      <c r="H618" s="1" t="s">
        <v>2648</v>
      </c>
    </row>
    <row r="619" spans="1:8" x14ac:dyDescent="0.25">
      <c r="A619" s="1" t="s">
        <v>900</v>
      </c>
      <c r="B619" s="1" t="s">
        <v>901</v>
      </c>
      <c r="C619" s="1" t="s">
        <v>902</v>
      </c>
      <c r="D619" s="1" t="s">
        <v>2901</v>
      </c>
      <c r="E619" s="1" t="s">
        <v>2902</v>
      </c>
      <c r="F619" s="1" t="str">
        <f>"554401289"</f>
        <v>554401289</v>
      </c>
      <c r="G619" s="1" t="str">
        <f>"8889222313"</f>
        <v>8889222313</v>
      </c>
      <c r="H619" s="1" t="s">
        <v>2637</v>
      </c>
    </row>
    <row r="620" spans="1:8" x14ac:dyDescent="0.25">
      <c r="A620" s="1" t="s">
        <v>454</v>
      </c>
      <c r="B620" s="1" t="s">
        <v>455</v>
      </c>
      <c r="C620" s="1" t="s">
        <v>456</v>
      </c>
      <c r="D620" s="1" t="s">
        <v>2901</v>
      </c>
      <c r="E620" s="1" t="s">
        <v>2902</v>
      </c>
      <c r="F620" s="1" t="str">
        <f>"55440    "</f>
        <v xml:space="preserve">55440    </v>
      </c>
      <c r="G620" s="1" t="str">
        <f>"8889222313"</f>
        <v>8889222313</v>
      </c>
      <c r="H620" s="1" t="s">
        <v>2637</v>
      </c>
    </row>
    <row r="621" spans="1:8" x14ac:dyDescent="0.25">
      <c r="A621" s="1" t="s">
        <v>1712</v>
      </c>
      <c r="B621" s="1" t="s">
        <v>1713</v>
      </c>
      <c r="C621" s="1" t="s">
        <v>1714</v>
      </c>
      <c r="D621" s="1" t="s">
        <v>2016</v>
      </c>
      <c r="E621" s="1" t="s">
        <v>2786</v>
      </c>
      <c r="F621" s="1" t="str">
        <f>"61132    "</f>
        <v xml:space="preserve">61132    </v>
      </c>
      <c r="G621" s="1" t="str">
        <f>"8156335800"</f>
        <v>8156335800</v>
      </c>
      <c r="H621" s="1" t="s">
        <v>2760</v>
      </c>
    </row>
    <row r="622" spans="1:8" x14ac:dyDescent="0.25">
      <c r="A622" s="1" t="str">
        <f>"382  "</f>
        <v xml:space="preserve">382  </v>
      </c>
      <c r="B622" s="1" t="s">
        <v>2438</v>
      </c>
      <c r="C622" s="1" t="s">
        <v>2439</v>
      </c>
      <c r="D622" s="1" t="s">
        <v>2195</v>
      </c>
      <c r="E622" s="1" t="s">
        <v>2196</v>
      </c>
      <c r="F622" s="1" t="str">
        <f>"891145615"</f>
        <v>891145615</v>
      </c>
      <c r="G622" s="1" t="str">
        <f>"8007771840"</f>
        <v>8007771840</v>
      </c>
      <c r="H622" s="1" t="s">
        <v>2795</v>
      </c>
    </row>
    <row r="623" spans="1:8" x14ac:dyDescent="0.25">
      <c r="A623" s="1" t="str">
        <f>"349  "</f>
        <v xml:space="preserve">349  </v>
      </c>
      <c r="B623" s="1" t="s">
        <v>1073</v>
      </c>
      <c r="C623" s="1" t="s">
        <v>1074</v>
      </c>
      <c r="D623" s="1" t="s">
        <v>3085</v>
      </c>
      <c r="E623" s="1" t="s">
        <v>3086</v>
      </c>
      <c r="F623" s="1" t="str">
        <f>"352382767"</f>
        <v>352382767</v>
      </c>
      <c r="G623" s="1" t="str">
        <f>"8002936260"</f>
        <v>8002936260</v>
      </c>
      <c r="H623" s="1" t="s">
        <v>2637</v>
      </c>
    </row>
    <row r="624" spans="1:8" x14ac:dyDescent="0.25">
      <c r="A624" s="1" t="str">
        <f>"357  "</f>
        <v xml:space="preserve">357  </v>
      </c>
      <c r="B624" s="1" t="s">
        <v>146</v>
      </c>
      <c r="C624" s="1" t="s">
        <v>147</v>
      </c>
      <c r="D624" s="1" t="s">
        <v>2981</v>
      </c>
      <c r="E624" s="1" t="s">
        <v>2832</v>
      </c>
      <c r="F624" s="1" t="str">
        <f>"33630-   "</f>
        <v xml:space="preserve">33630-   </v>
      </c>
      <c r="G624" s="1" t="str">
        <f>"8002377767"</f>
        <v>8002377767</v>
      </c>
      <c r="H624" s="1" t="s">
        <v>2637</v>
      </c>
    </row>
    <row r="625" spans="1:8" x14ac:dyDescent="0.25">
      <c r="A625" s="1" t="str">
        <f>"126  "</f>
        <v xml:space="preserve">126  </v>
      </c>
      <c r="B625" s="1" t="s">
        <v>3125</v>
      </c>
      <c r="C625" s="1" t="s">
        <v>3126</v>
      </c>
      <c r="D625" s="1" t="s">
        <v>2977</v>
      </c>
      <c r="E625" s="1" t="s">
        <v>2858</v>
      </c>
      <c r="F625" s="1" t="str">
        <f>"98124    "</f>
        <v xml:space="preserve">98124    </v>
      </c>
      <c r="G625" s="1" t="str">
        <f>"8008610056"</f>
        <v>8008610056</v>
      </c>
      <c r="H625" s="1" t="s">
        <v>2688</v>
      </c>
    </row>
    <row r="626" spans="1:8" x14ac:dyDescent="0.25">
      <c r="A626" s="1" t="str">
        <f>"332  "</f>
        <v xml:space="preserve">332  </v>
      </c>
      <c r="B626" s="1" t="s">
        <v>2173</v>
      </c>
      <c r="C626" s="1" t="s">
        <v>2174</v>
      </c>
      <c r="D626" s="1" t="s">
        <v>2175</v>
      </c>
      <c r="E626" s="1" t="s">
        <v>3118</v>
      </c>
      <c r="F626" s="1" t="str">
        <f>"01581    "</f>
        <v xml:space="preserve">01581    </v>
      </c>
      <c r="G626" s="1" t="str">
        <f>"8005327575"</f>
        <v>8005327575</v>
      </c>
      <c r="H626" s="1" t="s">
        <v>2637</v>
      </c>
    </row>
    <row r="627" spans="1:8" x14ac:dyDescent="0.25">
      <c r="A627" s="1" t="str">
        <f>"324  "</f>
        <v xml:space="preserve">324  </v>
      </c>
      <c r="B627" s="1" t="s">
        <v>229</v>
      </c>
      <c r="C627" s="1" t="str">
        <f>"5 HUTCHINSON DR                                   "</f>
        <v xml:space="preserve">5 HUTCHINSON DR                                   </v>
      </c>
      <c r="D627" s="1" t="s">
        <v>2120</v>
      </c>
      <c r="E627" s="1" t="s">
        <v>3118</v>
      </c>
      <c r="F627" s="1" t="str">
        <f>"01923    "</f>
        <v xml:space="preserve">01923    </v>
      </c>
      <c r="G627" s="1" t="str">
        <f>"8889994767"</f>
        <v>8889994767</v>
      </c>
      <c r="H627" s="1" t="s">
        <v>2735</v>
      </c>
    </row>
    <row r="628" spans="1:8" x14ac:dyDescent="0.25">
      <c r="A628" s="1" t="str">
        <f>"225  "</f>
        <v xml:space="preserve">225  </v>
      </c>
      <c r="B628" s="1" t="s">
        <v>2106</v>
      </c>
      <c r="C628" s="1" t="s">
        <v>2107</v>
      </c>
      <c r="D628" s="1" t="s">
        <v>2108</v>
      </c>
      <c r="E628" s="1" t="s">
        <v>2663</v>
      </c>
      <c r="F628" s="1" t="str">
        <f>"94551    "</f>
        <v xml:space="preserve">94551    </v>
      </c>
      <c r="G628" s="1" t="str">
        <f>"5104497070"</f>
        <v>5104497070</v>
      </c>
      <c r="H628" s="1" t="s">
        <v>2637</v>
      </c>
    </row>
    <row r="629" spans="1:8" x14ac:dyDescent="0.25">
      <c r="A629" s="1" t="s">
        <v>411</v>
      </c>
      <c r="B629" s="1" t="s">
        <v>412</v>
      </c>
      <c r="C629" s="1" t="str">
        <f>"4001 N. JOSEY LANE                                "</f>
        <v xml:space="preserve">4001 N. JOSEY LANE                                </v>
      </c>
      <c r="D629" s="1" t="s">
        <v>413</v>
      </c>
      <c r="E629" s="1" t="s">
        <v>2636</v>
      </c>
      <c r="F629" s="1" t="str">
        <f>"75007    "</f>
        <v xml:space="preserve">75007    </v>
      </c>
      <c r="G629" s="1" t="str">
        <f>"9724926474"</f>
        <v>9724926474</v>
      </c>
      <c r="H629" s="1" t="s">
        <v>2637</v>
      </c>
    </row>
    <row r="630" spans="1:8" x14ac:dyDescent="0.25">
      <c r="A630" s="1" t="s">
        <v>2846</v>
      </c>
      <c r="B630" s="1" t="s">
        <v>2847</v>
      </c>
      <c r="C630" s="1" t="str">
        <f>"25 COLUMBIA HEIGHTS                               "</f>
        <v xml:space="preserve">25 COLUMBIA HEIGHTS                               </v>
      </c>
      <c r="D630" s="1" t="s">
        <v>2848</v>
      </c>
      <c r="E630" s="1" t="s">
        <v>2773</v>
      </c>
      <c r="F630" s="1" t="str">
        <f>"112012482"</f>
        <v>112012482</v>
      </c>
      <c r="G630" s="1" t="str">
        <f>"8005544022"</f>
        <v>8005544022</v>
      </c>
      <c r="H630" s="1" t="s">
        <v>2760</v>
      </c>
    </row>
    <row r="631" spans="1:8" x14ac:dyDescent="0.25">
      <c r="A631" s="1" t="str">
        <f>"758  "</f>
        <v xml:space="preserve">758  </v>
      </c>
      <c r="B631" s="1" t="s">
        <v>1477</v>
      </c>
      <c r="C631" s="1" t="s">
        <v>1478</v>
      </c>
      <c r="D631" s="1" t="s">
        <v>1479</v>
      </c>
      <c r="E631" s="1" t="s">
        <v>2885</v>
      </c>
      <c r="F631" s="1" t="str">
        <f>"731270870"</f>
        <v>731270870</v>
      </c>
      <c r="G631" s="1" t="str">
        <f>"8004892974"</f>
        <v>8004892974</v>
      </c>
      <c r="H631" s="1" t="s">
        <v>2688</v>
      </c>
    </row>
    <row r="632" spans="1:8" x14ac:dyDescent="0.25">
      <c r="A632" s="1" t="str">
        <f>"814  "</f>
        <v xml:space="preserve">814  </v>
      </c>
      <c r="B632" s="1" t="s">
        <v>2325</v>
      </c>
      <c r="C632" s="1" t="s">
        <v>2326</v>
      </c>
      <c r="D632" s="1" t="s">
        <v>2687</v>
      </c>
      <c r="E632" s="1" t="s">
        <v>2663</v>
      </c>
      <c r="F632" s="1" t="str">
        <f>"93718    "</f>
        <v xml:space="preserve">93718    </v>
      </c>
      <c r="G632" s="1" t="str">
        <f>"8004427247"</f>
        <v>8004427247</v>
      </c>
      <c r="H632" s="1" t="s">
        <v>2637</v>
      </c>
    </row>
    <row r="633" spans="1:8" x14ac:dyDescent="0.25">
      <c r="A633" s="1" t="str">
        <f>"524  "</f>
        <v xml:space="preserve">524  </v>
      </c>
      <c r="B633" s="1" t="s">
        <v>339</v>
      </c>
      <c r="C633" s="1" t="s">
        <v>340</v>
      </c>
      <c r="D633" s="1" t="s">
        <v>341</v>
      </c>
      <c r="E633" s="1" t="s">
        <v>2636</v>
      </c>
      <c r="F633" s="1" t="str">
        <f>"75713    "</f>
        <v xml:space="preserve">75713    </v>
      </c>
      <c r="G633" s="1" t="str">
        <f>"8004778957"</f>
        <v>8004778957</v>
      </c>
      <c r="H633" s="1" t="s">
        <v>342</v>
      </c>
    </row>
    <row r="634" spans="1:8" x14ac:dyDescent="0.25">
      <c r="A634" s="1" t="s">
        <v>950</v>
      </c>
      <c r="B634" s="1" t="s">
        <v>951</v>
      </c>
      <c r="C634" s="1" t="s">
        <v>952</v>
      </c>
      <c r="D634" s="1" t="s">
        <v>2772</v>
      </c>
      <c r="E634" s="1" t="s">
        <v>2773</v>
      </c>
      <c r="F634" s="1" t="str">
        <f>"10274    "</f>
        <v xml:space="preserve">10274    </v>
      </c>
      <c r="G634" s="1" t="str">
        <f>"8882601010"</f>
        <v>8882601010</v>
      </c>
      <c r="H634" s="1" t="s">
        <v>2795</v>
      </c>
    </row>
    <row r="635" spans="1:8" x14ac:dyDescent="0.25">
      <c r="A635" s="1" t="str">
        <f>"639  "</f>
        <v xml:space="preserve">639  </v>
      </c>
      <c r="B635" s="1" t="s">
        <v>1336</v>
      </c>
      <c r="C635" s="1" t="str">
        <f>"255 ENTERPRISE BLVE.  STE. 20                     "</f>
        <v xml:space="preserve">255 ENTERPRISE BLVE.  STE. 20                     </v>
      </c>
      <c r="D635" s="1" t="s">
        <v>2710</v>
      </c>
      <c r="E635" s="1" t="s">
        <v>2660</v>
      </c>
      <c r="F635" s="1" t="str">
        <f>"29615    "</f>
        <v xml:space="preserve">29615    </v>
      </c>
      <c r="G635" s="1" t="str">
        <f>"8644551100"</f>
        <v>8644551100</v>
      </c>
      <c r="H635" s="1" t="s">
        <v>3195</v>
      </c>
    </row>
    <row r="636" spans="1:8" x14ac:dyDescent="0.25">
      <c r="A636" s="1" t="str">
        <f>"577  "</f>
        <v xml:space="preserve">577  </v>
      </c>
      <c r="B636" s="1" t="s">
        <v>3287</v>
      </c>
      <c r="C636" s="1" t="s">
        <v>3288</v>
      </c>
      <c r="D636" s="1" t="s">
        <v>3289</v>
      </c>
      <c r="E636" s="1" t="s">
        <v>2697</v>
      </c>
      <c r="F636" s="1" t="str">
        <f>"17110    "</f>
        <v xml:space="preserve">17110    </v>
      </c>
      <c r="G636" s="1" t="str">
        <f>"8772195460"</f>
        <v>8772195460</v>
      </c>
      <c r="H636" s="1" t="s">
        <v>2688</v>
      </c>
    </row>
    <row r="637" spans="1:8" x14ac:dyDescent="0.25">
      <c r="A637" s="1" t="str">
        <f>"440  "</f>
        <v xml:space="preserve">440  </v>
      </c>
      <c r="B637" s="1" t="s">
        <v>3201</v>
      </c>
      <c r="C637" s="1" t="s">
        <v>933</v>
      </c>
      <c r="D637" s="1" t="s">
        <v>2794</v>
      </c>
      <c r="E637" s="1" t="s">
        <v>2744</v>
      </c>
      <c r="F637" s="1" t="str">
        <f>"40512    "</f>
        <v xml:space="preserve">40512    </v>
      </c>
      <c r="G637" s="1" t="str">
        <f>"8006417761"</f>
        <v>8006417761</v>
      </c>
      <c r="H637" s="1" t="s">
        <v>2637</v>
      </c>
    </row>
    <row r="638" spans="1:8" x14ac:dyDescent="0.25">
      <c r="A638" s="1" t="str">
        <f>"753  "</f>
        <v xml:space="preserve">753  </v>
      </c>
      <c r="B638" s="1" t="s">
        <v>3201</v>
      </c>
      <c r="C638" s="1" t="s">
        <v>3202</v>
      </c>
      <c r="D638" s="1" t="s">
        <v>3203</v>
      </c>
      <c r="E638" s="1" t="s">
        <v>2681</v>
      </c>
      <c r="F638" s="1" t="str">
        <f>"309032226"</f>
        <v>309032226</v>
      </c>
      <c r="G638" s="1" t="str">
        <f>"9009778221"</f>
        <v>9009778221</v>
      </c>
      <c r="H638" s="1" t="s">
        <v>2637</v>
      </c>
    </row>
    <row r="639" spans="1:8" x14ac:dyDescent="0.25">
      <c r="A639" s="1" t="str">
        <f>"767  "</f>
        <v xml:space="preserve">767  </v>
      </c>
      <c r="B639" s="1" t="s">
        <v>1836</v>
      </c>
      <c r="C639" s="1" t="s">
        <v>127</v>
      </c>
      <c r="D639" s="1" t="s">
        <v>2871</v>
      </c>
      <c r="E639" s="1" t="s">
        <v>2636</v>
      </c>
      <c r="F639" s="1" t="str">
        <f>"752619055"</f>
        <v>752619055</v>
      </c>
      <c r="G639" s="1" t="str">
        <f>"8006006212"</f>
        <v>8006006212</v>
      </c>
      <c r="H639" s="1" t="s">
        <v>2760</v>
      </c>
    </row>
    <row r="640" spans="1:8" x14ac:dyDescent="0.25">
      <c r="A640" s="1" t="s">
        <v>1835</v>
      </c>
      <c r="B640" s="1" t="s">
        <v>1836</v>
      </c>
      <c r="C640" s="1" t="s">
        <v>1837</v>
      </c>
      <c r="D640" s="1" t="s">
        <v>2531</v>
      </c>
      <c r="E640" s="1" t="s">
        <v>2636</v>
      </c>
      <c r="F640" s="1" t="str">
        <f>"794906831"</f>
        <v>794906831</v>
      </c>
      <c r="G640" s="1" t="str">
        <f>"8009676831"</f>
        <v>8009676831</v>
      </c>
      <c r="H640" s="1" t="s">
        <v>2637</v>
      </c>
    </row>
    <row r="641" spans="1:8" x14ac:dyDescent="0.25">
      <c r="A641" s="1" t="str">
        <f>"553DN"</f>
        <v>553DN</v>
      </c>
      <c r="B641" s="1" t="s">
        <v>1085</v>
      </c>
      <c r="C641" s="1" t="s">
        <v>1086</v>
      </c>
      <c r="D641" s="1" t="s">
        <v>2943</v>
      </c>
      <c r="E641" s="1" t="s">
        <v>2944</v>
      </c>
      <c r="F641" s="1" t="str">
        <f>"72203    "</f>
        <v xml:space="preserve">72203    </v>
      </c>
      <c r="G641" s="1" t="str">
        <f>"8008277026"</f>
        <v>8008277026</v>
      </c>
      <c r="H641" s="1" t="s">
        <v>2637</v>
      </c>
    </row>
    <row r="642" spans="1:8" x14ac:dyDescent="0.25">
      <c r="A642" s="1" t="str">
        <f>"553  "</f>
        <v xml:space="preserve">553  </v>
      </c>
      <c r="B642" s="1" t="s">
        <v>1326</v>
      </c>
      <c r="C642" s="1" t="s">
        <v>1086</v>
      </c>
      <c r="D642" s="1" t="s">
        <v>2943</v>
      </c>
      <c r="E642" s="1" t="s">
        <v>2944</v>
      </c>
      <c r="F642" s="1" t="str">
        <f>"72203    "</f>
        <v xml:space="preserve">72203    </v>
      </c>
      <c r="G642" s="1" t="str">
        <f>"8883736102"</f>
        <v>8883736102</v>
      </c>
      <c r="H642" s="1" t="s">
        <v>2637</v>
      </c>
    </row>
    <row r="643" spans="1:8" x14ac:dyDescent="0.25">
      <c r="A643" s="1" t="str">
        <f>"305  "</f>
        <v xml:space="preserve">305  </v>
      </c>
      <c r="B643" s="1" t="s">
        <v>3011</v>
      </c>
      <c r="C643" s="1" t="s">
        <v>3012</v>
      </c>
      <c r="D643" s="1" t="s">
        <v>3013</v>
      </c>
      <c r="E643" s="1" t="s">
        <v>3014</v>
      </c>
      <c r="F643" s="1" t="str">
        <f>"253302801"</f>
        <v>253302801</v>
      </c>
      <c r="G643" s="1" t="str">
        <f>"8668695597"</f>
        <v>8668695597</v>
      </c>
      <c r="H643" s="1" t="s">
        <v>2637</v>
      </c>
    </row>
    <row r="644" spans="1:8" x14ac:dyDescent="0.25">
      <c r="A644" s="1" t="str">
        <f>"920  "</f>
        <v xml:space="preserve">920  </v>
      </c>
      <c r="B644" s="1" t="s">
        <v>2529</v>
      </c>
      <c r="C644" s="1" t="s">
        <v>2530</v>
      </c>
      <c r="D644" s="1" t="s">
        <v>2531</v>
      </c>
      <c r="E644" s="1" t="s">
        <v>2636</v>
      </c>
      <c r="F644" s="1" t="str">
        <f>"794533010"</f>
        <v>794533010</v>
      </c>
      <c r="G644" s="1" t="str">
        <f>"8064732500"</f>
        <v>8064732500</v>
      </c>
      <c r="H644" s="1" t="s">
        <v>2637</v>
      </c>
    </row>
    <row r="645" spans="1:8" x14ac:dyDescent="0.25">
      <c r="A645" s="1" t="str">
        <f>"876  "</f>
        <v xml:space="preserve">876  </v>
      </c>
      <c r="B645" s="1" t="s">
        <v>959</v>
      </c>
      <c r="C645" s="1" t="s">
        <v>960</v>
      </c>
      <c r="D645" s="1" t="s">
        <v>2067</v>
      </c>
      <c r="E645" s="1" t="s">
        <v>2677</v>
      </c>
      <c r="F645" s="1" t="str">
        <f>"27611    "</f>
        <v xml:space="preserve">27611    </v>
      </c>
      <c r="G645" s="1" t="str">
        <f>"8008499000"</f>
        <v>8008499000</v>
      </c>
      <c r="H645" s="1" t="s">
        <v>961</v>
      </c>
    </row>
    <row r="646" spans="1:8" x14ac:dyDescent="0.25">
      <c r="A646" s="1" t="str">
        <f>"519  "</f>
        <v xml:space="preserve">519  </v>
      </c>
      <c r="B646" s="1" t="s">
        <v>913</v>
      </c>
      <c r="C646" s="1" t="s">
        <v>914</v>
      </c>
      <c r="D646" s="1" t="s">
        <v>3085</v>
      </c>
      <c r="E646" s="1" t="s">
        <v>3086</v>
      </c>
      <c r="F646" s="1" t="str">
        <f>"35238    "</f>
        <v xml:space="preserve">35238    </v>
      </c>
      <c r="G646" s="1" t="str">
        <f>"8778939294"</f>
        <v>8778939294</v>
      </c>
      <c r="H646" s="1" t="s">
        <v>2637</v>
      </c>
    </row>
    <row r="647" spans="1:8" x14ac:dyDescent="0.25">
      <c r="A647" s="1" t="str">
        <f>"242  "</f>
        <v xml:space="preserve">242  </v>
      </c>
      <c r="B647" s="1" t="s">
        <v>1680</v>
      </c>
      <c r="C647" s="1" t="str">
        <f>"8228 MAYFIELD RD. STE 5B                          "</f>
        <v xml:space="preserve">8228 MAYFIELD RD. STE 5B                          </v>
      </c>
      <c r="D647" s="1" t="s">
        <v>1681</v>
      </c>
      <c r="E647" s="1" t="s">
        <v>2714</v>
      </c>
      <c r="F647" s="1" t="str">
        <f>"44026    "</f>
        <v xml:space="preserve">44026    </v>
      </c>
      <c r="G647" s="1" t="str">
        <f>"4405272955"</f>
        <v>4405272955</v>
      </c>
      <c r="H647" s="1" t="s">
        <v>2735</v>
      </c>
    </row>
    <row r="648" spans="1:8" x14ac:dyDescent="0.25">
      <c r="A648" s="1" t="str">
        <f>"848  "</f>
        <v xml:space="preserve">848  </v>
      </c>
      <c r="B648" s="1" t="s">
        <v>1500</v>
      </c>
      <c r="C648" s="1" t="s">
        <v>1501</v>
      </c>
      <c r="D648" s="1" t="s">
        <v>1502</v>
      </c>
      <c r="E648" s="1" t="s">
        <v>2832</v>
      </c>
      <c r="F648" s="1" t="str">
        <f>"33823    "</f>
        <v xml:space="preserve">33823    </v>
      </c>
      <c r="G648" s="1" t="str">
        <f>"8002822460"</f>
        <v>8002822460</v>
      </c>
      <c r="H648" s="1" t="s">
        <v>2637</v>
      </c>
    </row>
    <row r="649" spans="1:8" x14ac:dyDescent="0.25">
      <c r="A649" s="1" t="str">
        <f>"732  "</f>
        <v xml:space="preserve">732  </v>
      </c>
      <c r="B649" s="1" t="s">
        <v>1953</v>
      </c>
      <c r="C649" s="1" t="s">
        <v>1954</v>
      </c>
      <c r="D649" s="1" t="s">
        <v>2785</v>
      </c>
      <c r="E649" s="1" t="s">
        <v>2821</v>
      </c>
      <c r="F649" s="1" t="str">
        <f>"07656    "</f>
        <v xml:space="preserve">07656    </v>
      </c>
      <c r="G649" s="1" t="str">
        <f>"2013072177"</f>
        <v>2013072177</v>
      </c>
      <c r="H649" s="1" t="s">
        <v>2637</v>
      </c>
    </row>
    <row r="650" spans="1:8" x14ac:dyDescent="0.25">
      <c r="A650" s="1" t="str">
        <f>"117  "</f>
        <v xml:space="preserve">117  </v>
      </c>
      <c r="B650" s="1" t="s">
        <v>2953</v>
      </c>
      <c r="C650" s="1" t="s">
        <v>2954</v>
      </c>
      <c r="D650" s="1" t="s">
        <v>2710</v>
      </c>
      <c r="E650" s="1" t="s">
        <v>2660</v>
      </c>
      <c r="F650" s="1" t="str">
        <f>"29606    "</f>
        <v xml:space="preserve">29606    </v>
      </c>
      <c r="G650" s="1" t="str">
        <f>"8642405840"</f>
        <v>8642405840</v>
      </c>
      <c r="H650" s="1" t="s">
        <v>2637</v>
      </c>
    </row>
    <row r="651" spans="1:8" x14ac:dyDescent="0.25">
      <c r="A651" s="1" t="s">
        <v>1048</v>
      </c>
      <c r="B651" s="1" t="s">
        <v>1049</v>
      </c>
      <c r="C651" s="1" t="s">
        <v>1050</v>
      </c>
      <c r="D651" s="1" t="s">
        <v>1051</v>
      </c>
      <c r="E651" s="1" t="s">
        <v>2697</v>
      </c>
      <c r="F651" s="1" t="str">
        <f>"170890173"</f>
        <v>170890173</v>
      </c>
      <c r="G651" s="1" t="str">
        <f>"4125447000"</f>
        <v>4125447000</v>
      </c>
      <c r="H651" s="1" t="s">
        <v>2637</v>
      </c>
    </row>
    <row r="652" spans="1:8" x14ac:dyDescent="0.25">
      <c r="A652" s="1" t="s">
        <v>2608</v>
      </c>
      <c r="B652" s="1" t="s">
        <v>2609</v>
      </c>
      <c r="C652" s="1" t="str">
        <f>"120 5TH AVE                                       "</f>
        <v xml:space="preserve">120 5TH AVE                                       </v>
      </c>
      <c r="D652" s="1" t="s">
        <v>3230</v>
      </c>
      <c r="E652" s="1" t="s">
        <v>2697</v>
      </c>
      <c r="F652" s="1" t="str">
        <f>"15222309 "</f>
        <v xml:space="preserve">15222309 </v>
      </c>
      <c r="G652" s="1" t="str">
        <f>"8005473627"</f>
        <v>8005473627</v>
      </c>
      <c r="H652" s="1" t="s">
        <v>2795</v>
      </c>
    </row>
    <row r="653" spans="1:8" x14ac:dyDescent="0.25">
      <c r="A653" s="1" t="s">
        <v>305</v>
      </c>
      <c r="B653" s="1" t="s">
        <v>306</v>
      </c>
      <c r="C653" s="1" t="s">
        <v>307</v>
      </c>
      <c r="D653" s="1" t="s">
        <v>1952</v>
      </c>
      <c r="E653" s="1" t="s">
        <v>2697</v>
      </c>
      <c r="F653" s="1" t="str">
        <f>"19044    "</f>
        <v xml:space="preserve">19044    </v>
      </c>
      <c r="G653" s="1" t="str">
        <f>"8883502002"</f>
        <v>8883502002</v>
      </c>
      <c r="H653" s="1" t="s">
        <v>308</v>
      </c>
    </row>
    <row r="654" spans="1:8" x14ac:dyDescent="0.25">
      <c r="A654" s="1" t="s">
        <v>1635</v>
      </c>
      <c r="B654" s="1" t="s">
        <v>1636</v>
      </c>
      <c r="C654" s="1" t="s">
        <v>1637</v>
      </c>
      <c r="D654" s="1" t="s">
        <v>1638</v>
      </c>
      <c r="E654" s="1" t="s">
        <v>2832</v>
      </c>
      <c r="F654" s="1" t="str">
        <f>"32756    "</f>
        <v xml:space="preserve">32756    </v>
      </c>
      <c r="G654" s="1" t="str">
        <f>"8007439264"</f>
        <v>8007439264</v>
      </c>
      <c r="H654" s="1" t="s">
        <v>2637</v>
      </c>
    </row>
    <row r="655" spans="1:8" x14ac:dyDescent="0.25">
      <c r="A655" s="1" t="str">
        <f>"502  "</f>
        <v xml:space="preserve">502  </v>
      </c>
      <c r="B655" s="1" t="s">
        <v>2478</v>
      </c>
      <c r="C655" s="1" t="s">
        <v>2479</v>
      </c>
      <c r="D655" s="1" t="s">
        <v>2772</v>
      </c>
      <c r="E655" s="1" t="s">
        <v>2773</v>
      </c>
      <c r="F655" s="1" t="str">
        <f>"101162803"</f>
        <v>101162803</v>
      </c>
      <c r="G655" s="1" t="str">
        <f>"8004478255"</f>
        <v>8004478255</v>
      </c>
      <c r="H655" s="1" t="s">
        <v>2795</v>
      </c>
    </row>
    <row r="656" spans="1:8" x14ac:dyDescent="0.25">
      <c r="A656" s="1" t="s">
        <v>3227</v>
      </c>
      <c r="B656" s="1" t="s">
        <v>3228</v>
      </c>
      <c r="C656" s="1" t="s">
        <v>3229</v>
      </c>
      <c r="D656" s="1" t="s">
        <v>3230</v>
      </c>
      <c r="E656" s="1" t="s">
        <v>2697</v>
      </c>
      <c r="F656" s="1" t="str">
        <f>"152535078"</f>
        <v>152535078</v>
      </c>
      <c r="G656" s="1" t="str">
        <f>"8002792624"</f>
        <v>8002792624</v>
      </c>
      <c r="H656" s="1" t="s">
        <v>2637</v>
      </c>
    </row>
    <row r="657" spans="1:8" x14ac:dyDescent="0.25">
      <c r="A657" s="1" t="s">
        <v>1130</v>
      </c>
      <c r="B657" s="1" t="s">
        <v>1131</v>
      </c>
      <c r="C657" s="1" t="s">
        <v>1132</v>
      </c>
      <c r="D657" s="1" t="s">
        <v>2680</v>
      </c>
      <c r="E657" s="1" t="s">
        <v>2681</v>
      </c>
      <c r="F657" s="1" t="str">
        <f>"31412    "</f>
        <v xml:space="preserve">31412    </v>
      </c>
      <c r="G657" s="1" t="str">
        <f>"8004043344"</f>
        <v>8004043344</v>
      </c>
      <c r="H657" s="1" t="s">
        <v>2637</v>
      </c>
    </row>
    <row r="658" spans="1:8" x14ac:dyDescent="0.25">
      <c r="A658" s="1" t="s">
        <v>2237</v>
      </c>
      <c r="B658" s="1" t="s">
        <v>2238</v>
      </c>
      <c r="C658" s="1" t="s">
        <v>2239</v>
      </c>
      <c r="D658" s="1" t="s">
        <v>2710</v>
      </c>
      <c r="E658" s="1" t="s">
        <v>2660</v>
      </c>
      <c r="F658" s="1" t="str">
        <f>"29602    "</f>
        <v xml:space="preserve">29602    </v>
      </c>
      <c r="G658" s="1" t="str">
        <f>"8648593211"</f>
        <v>8648593211</v>
      </c>
      <c r="H658" s="1" t="s">
        <v>2240</v>
      </c>
    </row>
    <row r="659" spans="1:8" x14ac:dyDescent="0.25">
      <c r="A659" s="1" t="str">
        <f>"984  "</f>
        <v xml:space="preserve">984  </v>
      </c>
      <c r="B659" s="1" t="s">
        <v>1491</v>
      </c>
      <c r="C659" s="1" t="s">
        <v>3008</v>
      </c>
      <c r="D659" s="1" t="s">
        <v>2977</v>
      </c>
      <c r="E659" s="1" t="s">
        <v>2858</v>
      </c>
      <c r="F659" s="1" t="str">
        <f>"98124    "</f>
        <v xml:space="preserve">98124    </v>
      </c>
      <c r="G659" s="1" t="str">
        <f>"8004934240"</f>
        <v>8004934240</v>
      </c>
      <c r="H659" s="1" t="s">
        <v>2637</v>
      </c>
    </row>
    <row r="660" spans="1:8" x14ac:dyDescent="0.25">
      <c r="A660" s="1" t="s">
        <v>2095</v>
      </c>
      <c r="B660" s="1" t="s">
        <v>2096</v>
      </c>
      <c r="C660" s="1" t="s">
        <v>2097</v>
      </c>
      <c r="D660" s="1" t="s">
        <v>3263</v>
      </c>
      <c r="E660" s="1" t="s">
        <v>3264</v>
      </c>
      <c r="F660" s="1" t="str">
        <f>"52733    "</f>
        <v xml:space="preserve">52733    </v>
      </c>
      <c r="G660" s="1" t="str">
        <f>"8007737725"</f>
        <v>8007737725</v>
      </c>
      <c r="H660" s="1" t="s">
        <v>2098</v>
      </c>
    </row>
    <row r="661" spans="1:8" x14ac:dyDescent="0.25">
      <c r="A661" s="1" t="str">
        <f>"239  "</f>
        <v xml:space="preserve">239  </v>
      </c>
      <c r="B661" s="1" t="s">
        <v>2407</v>
      </c>
      <c r="C661" s="1" t="str">
        <f>"1 HORACE MANN PLAZA                               "</f>
        <v xml:space="preserve">1 HORACE MANN PLAZA                               </v>
      </c>
      <c r="D661" s="1" t="s">
        <v>2397</v>
      </c>
      <c r="E661" s="1" t="s">
        <v>2786</v>
      </c>
      <c r="F661" s="1" t="str">
        <f>"62715    "</f>
        <v xml:space="preserve">62715    </v>
      </c>
      <c r="G661" s="1" t="str">
        <f>"2177892500"</f>
        <v>2177892500</v>
      </c>
      <c r="H661" s="1" t="s">
        <v>2637</v>
      </c>
    </row>
    <row r="662" spans="1:8" x14ac:dyDescent="0.25">
      <c r="A662" s="1" t="str">
        <f>"238  "</f>
        <v xml:space="preserve">238  </v>
      </c>
      <c r="B662" s="1" t="s">
        <v>1656</v>
      </c>
      <c r="C662" s="1" t="s">
        <v>1657</v>
      </c>
      <c r="D662" s="1" t="s">
        <v>1658</v>
      </c>
      <c r="E662" s="1" t="s">
        <v>2821</v>
      </c>
      <c r="F662" s="1" t="str">
        <f>"08628    "</f>
        <v xml:space="preserve">08628    </v>
      </c>
      <c r="G662" s="1" t="str">
        <f>"8007923666"</f>
        <v>8007923666</v>
      </c>
      <c r="H662" s="1" t="s">
        <v>2637</v>
      </c>
    </row>
    <row r="663" spans="1:8" x14ac:dyDescent="0.25">
      <c r="A663" s="1" t="str">
        <f>"675  "</f>
        <v xml:space="preserve">675  </v>
      </c>
      <c r="B663" s="1" t="s">
        <v>405</v>
      </c>
      <c r="C663" s="1" t="str">
        <f>"-                                                 "</f>
        <v xml:space="preserve">-                                                 </v>
      </c>
      <c r="D663" s="1" t="str">
        <f>"-                                      "</f>
        <v xml:space="preserve">-                                      </v>
      </c>
      <c r="E663" s="1" t="str">
        <f>"- "</f>
        <v xml:space="preserve">- </v>
      </c>
      <c r="F663" s="1" t="str">
        <f>"-        "</f>
        <v xml:space="preserve">-        </v>
      </c>
      <c r="G663" s="1" t="s">
        <v>2637</v>
      </c>
      <c r="H663" s="1" t="s">
        <v>2637</v>
      </c>
    </row>
    <row r="664" spans="1:8" x14ac:dyDescent="0.25">
      <c r="A664" s="1" t="str">
        <f>"782  "</f>
        <v xml:space="preserve">782  </v>
      </c>
      <c r="B664" s="1" t="s">
        <v>881</v>
      </c>
      <c r="C664" s="1" t="s">
        <v>882</v>
      </c>
      <c r="D664" s="1" t="s">
        <v>2871</v>
      </c>
      <c r="E664" s="1" t="s">
        <v>2636</v>
      </c>
      <c r="F664" s="1" t="str">
        <f>"753542077"</f>
        <v>753542077</v>
      </c>
      <c r="G664" s="1" t="str">
        <f>"8009372036"</f>
        <v>8009372036</v>
      </c>
      <c r="H664" s="1" t="s">
        <v>2637</v>
      </c>
    </row>
    <row r="665" spans="1:8" x14ac:dyDescent="0.25">
      <c r="A665" s="1" t="str">
        <f>"878  "</f>
        <v xml:space="preserve">878  </v>
      </c>
      <c r="B665" s="1" t="s">
        <v>898</v>
      </c>
      <c r="C665" s="1" t="s">
        <v>899</v>
      </c>
      <c r="D665" s="1" t="s">
        <v>3173</v>
      </c>
      <c r="E665" s="1" t="s">
        <v>2644</v>
      </c>
      <c r="F665" s="1" t="str">
        <f>"490034022"</f>
        <v>490034022</v>
      </c>
      <c r="G665" s="1" t="str">
        <f>"8002530966"</f>
        <v>8002530966</v>
      </c>
      <c r="H665" s="1" t="s">
        <v>2637</v>
      </c>
    </row>
    <row r="666" spans="1:8" x14ac:dyDescent="0.25">
      <c r="A666" s="1" t="s">
        <v>261</v>
      </c>
      <c r="B666" s="1" t="s">
        <v>262</v>
      </c>
      <c r="C666" s="1" t="s">
        <v>263</v>
      </c>
      <c r="D666" s="1" t="s">
        <v>2901</v>
      </c>
      <c r="E666" s="1" t="s">
        <v>2902</v>
      </c>
      <c r="F666" s="1" t="str">
        <f>"554400039"</f>
        <v>554400039</v>
      </c>
      <c r="G666" s="1" t="str">
        <f>"8665108780"</f>
        <v>8665108780</v>
      </c>
      <c r="H666" s="1" t="s">
        <v>2760</v>
      </c>
    </row>
    <row r="667" spans="1:8" x14ac:dyDescent="0.25">
      <c r="A667" s="1" t="str">
        <f>"836  "</f>
        <v xml:space="preserve">836  </v>
      </c>
      <c r="B667" s="1" t="s">
        <v>2736</v>
      </c>
      <c r="C667" s="1" t="str">
        <f>"1100 EMPLOYERS BLVD                               "</f>
        <v xml:space="preserve">1100 EMPLOYERS BLVD                               </v>
      </c>
      <c r="D667" s="1" t="s">
        <v>2737</v>
      </c>
      <c r="E667" s="1" t="s">
        <v>2667</v>
      </c>
      <c r="F667" s="1" t="str">
        <f>"543440620"</f>
        <v>543440620</v>
      </c>
      <c r="G667" s="1" t="str">
        <f>"8005584444"</f>
        <v>8005584444</v>
      </c>
      <c r="H667" s="1" t="s">
        <v>2637</v>
      </c>
    </row>
    <row r="668" spans="1:8" x14ac:dyDescent="0.25">
      <c r="A668" s="1" t="s">
        <v>2241</v>
      </c>
      <c r="B668" s="1" t="s">
        <v>2242</v>
      </c>
      <c r="C668" s="1" t="s">
        <v>2243</v>
      </c>
      <c r="D668" s="1" t="s">
        <v>2794</v>
      </c>
      <c r="E668" s="1" t="s">
        <v>2744</v>
      </c>
      <c r="F668" s="1" t="str">
        <f>"405784602"</f>
        <v>405784602</v>
      </c>
      <c r="G668" s="1" t="str">
        <f>"8004574708"</f>
        <v>8004574708</v>
      </c>
      <c r="H668" s="1" t="s">
        <v>2795</v>
      </c>
    </row>
    <row r="669" spans="1:8" x14ac:dyDescent="0.25">
      <c r="A669" s="1" t="str">
        <f>"648  "</f>
        <v xml:space="preserve">648  </v>
      </c>
      <c r="B669" s="1" t="s">
        <v>2526</v>
      </c>
      <c r="C669" s="1" t="s">
        <v>2527</v>
      </c>
      <c r="D669" s="1" t="s">
        <v>2528</v>
      </c>
      <c r="E669" s="1" t="s">
        <v>2660</v>
      </c>
      <c r="F669" s="1" t="str">
        <f>"29020    "</f>
        <v xml:space="preserve">29020    </v>
      </c>
      <c r="G669" s="1" t="str">
        <f>"8775115000"</f>
        <v>8775115000</v>
      </c>
      <c r="H669" s="1" t="s">
        <v>2795</v>
      </c>
    </row>
    <row r="670" spans="1:8" x14ac:dyDescent="0.25">
      <c r="A670" s="1" t="str">
        <f>"793  "</f>
        <v xml:space="preserve">793  </v>
      </c>
      <c r="B670" s="1" t="s">
        <v>2792</v>
      </c>
      <c r="C670" s="1" t="s">
        <v>2793</v>
      </c>
      <c r="D670" s="1" t="s">
        <v>2794</v>
      </c>
      <c r="E670" s="1" t="s">
        <v>2744</v>
      </c>
      <c r="F670" s="1" t="str">
        <f>"405124601"</f>
        <v>405124601</v>
      </c>
      <c r="G670" s="1" t="str">
        <f>"8004574708"</f>
        <v>8004574708</v>
      </c>
      <c r="H670" s="1" t="s">
        <v>2795</v>
      </c>
    </row>
    <row r="671" spans="1:8" x14ac:dyDescent="0.25">
      <c r="A671" s="1" t="str">
        <f>"216  "</f>
        <v xml:space="preserve">216  </v>
      </c>
      <c r="B671" s="1" t="s">
        <v>1625</v>
      </c>
      <c r="C671" s="1" t="s">
        <v>1626</v>
      </c>
      <c r="D671" s="1" t="s">
        <v>2834</v>
      </c>
      <c r="E671" s="1" t="s">
        <v>2832</v>
      </c>
      <c r="F671" s="1" t="str">
        <f>"32245    "</f>
        <v xml:space="preserve">32245    </v>
      </c>
      <c r="G671" s="1" t="str">
        <f>"8004574708"</f>
        <v>8004574708</v>
      </c>
      <c r="H671" s="1" t="s">
        <v>2637</v>
      </c>
    </row>
    <row r="672" spans="1:8" x14ac:dyDescent="0.25">
      <c r="A672" s="1" t="str">
        <f>"752  "</f>
        <v xml:space="preserve">752  </v>
      </c>
      <c r="B672" s="1" t="s">
        <v>1058</v>
      </c>
      <c r="C672" s="1" t="str">
        <f>"15500 NEW BARN ROAD                               "</f>
        <v xml:space="preserve">15500 NEW BARN ROAD                               </v>
      </c>
      <c r="D672" s="1" t="s">
        <v>1059</v>
      </c>
      <c r="E672" s="1" t="s">
        <v>2832</v>
      </c>
      <c r="F672" s="1" t="str">
        <f>"33014    "</f>
        <v xml:space="preserve">33014    </v>
      </c>
      <c r="G672" s="1" t="str">
        <f>"8005912650"</f>
        <v>8005912650</v>
      </c>
      <c r="H672" s="1" t="s">
        <v>2688</v>
      </c>
    </row>
    <row r="673" spans="1:8" x14ac:dyDescent="0.25">
      <c r="A673" s="1" t="str">
        <f>"371  "</f>
        <v xml:space="preserve">371  </v>
      </c>
      <c r="B673" s="1" t="s">
        <v>1313</v>
      </c>
      <c r="C673" s="1" t="s">
        <v>2530</v>
      </c>
      <c r="D673" s="1" t="s">
        <v>2531</v>
      </c>
      <c r="E673" s="1" t="s">
        <v>2636</v>
      </c>
      <c r="F673" s="1" t="str">
        <f>"794533070"</f>
        <v>794533070</v>
      </c>
      <c r="G673" s="1" t="str">
        <f>"8006589777"</f>
        <v>8006589777</v>
      </c>
      <c r="H673" s="1" t="s">
        <v>2637</v>
      </c>
    </row>
    <row r="674" spans="1:8" x14ac:dyDescent="0.25">
      <c r="A674" s="1" t="str">
        <f>"250  "</f>
        <v xml:space="preserve">250  </v>
      </c>
      <c r="B674" s="1" t="s">
        <v>233</v>
      </c>
      <c r="C674" s="1" t="str">
        <f>"144 METRO CENTER BLVD                             "</f>
        <v xml:space="preserve">144 METRO CENTER BLVD                             </v>
      </c>
      <c r="D674" s="1" t="s">
        <v>234</v>
      </c>
      <c r="E674" s="1" t="s">
        <v>2764</v>
      </c>
      <c r="F674" s="1" t="str">
        <f>"02886    "</f>
        <v xml:space="preserve">02886    </v>
      </c>
      <c r="G674" s="1" t="str">
        <f>"8007176614"</f>
        <v>8007176614</v>
      </c>
      <c r="H674" s="1" t="s">
        <v>2637</v>
      </c>
    </row>
    <row r="675" spans="1:8" x14ac:dyDescent="0.25">
      <c r="A675" s="1" t="str">
        <f>"801  "</f>
        <v xml:space="preserve">801  </v>
      </c>
      <c r="B675" s="1" t="s">
        <v>268</v>
      </c>
      <c r="C675" s="1" t="s">
        <v>269</v>
      </c>
      <c r="D675" s="1" t="s">
        <v>2596</v>
      </c>
      <c r="E675" s="1" t="s">
        <v>2826</v>
      </c>
      <c r="F675" s="1" t="str">
        <f>"80155    "</f>
        <v xml:space="preserve">80155    </v>
      </c>
      <c r="G675" s="1" t="str">
        <f>"8882738020"</f>
        <v>8882738020</v>
      </c>
      <c r="H675" s="1" t="s">
        <v>2637</v>
      </c>
    </row>
    <row r="676" spans="1:8" x14ac:dyDescent="0.25">
      <c r="A676" s="1" t="s">
        <v>3266</v>
      </c>
      <c r="B676" s="1" t="s">
        <v>3267</v>
      </c>
      <c r="C676" s="1" t="s">
        <v>3268</v>
      </c>
      <c r="D676" s="1" t="s">
        <v>3269</v>
      </c>
      <c r="E676" s="1" t="s">
        <v>2647</v>
      </c>
      <c r="F676" s="1" t="str">
        <f>"217170697"</f>
        <v>217170697</v>
      </c>
      <c r="G676" s="1" t="str">
        <f>"8009442833"</f>
        <v>8009442833</v>
      </c>
      <c r="H676" s="1" t="s">
        <v>3270</v>
      </c>
    </row>
    <row r="677" spans="1:8" x14ac:dyDescent="0.25">
      <c r="A677" s="1" t="str">
        <f>"716  "</f>
        <v xml:space="preserve">716  </v>
      </c>
      <c r="B677" s="1" t="s">
        <v>116</v>
      </c>
      <c r="C677" s="1" t="s">
        <v>117</v>
      </c>
      <c r="D677" s="1" t="s">
        <v>118</v>
      </c>
      <c r="E677" s="1" t="s">
        <v>2821</v>
      </c>
      <c r="F677" s="1" t="str">
        <f>"07071    "</f>
        <v xml:space="preserve">07071    </v>
      </c>
      <c r="G677" s="1" t="str">
        <f>"8884463327"</f>
        <v>8884463327</v>
      </c>
      <c r="H677" s="1" t="s">
        <v>2760</v>
      </c>
    </row>
    <row r="678" spans="1:8" x14ac:dyDescent="0.25">
      <c r="A678" s="1" t="s">
        <v>1463</v>
      </c>
      <c r="B678" s="1" t="s">
        <v>1464</v>
      </c>
      <c r="C678" s="1" t="s">
        <v>1465</v>
      </c>
      <c r="D678" s="1" t="s">
        <v>1466</v>
      </c>
      <c r="E678" s="1" t="s">
        <v>2902</v>
      </c>
      <c r="F678" s="1" t="str">
        <f>"55121    "</f>
        <v xml:space="preserve">55121    </v>
      </c>
      <c r="G678" s="1" t="str">
        <f>"8664290608"</f>
        <v>8664290608</v>
      </c>
      <c r="H678" s="1" t="s">
        <v>2637</v>
      </c>
    </row>
    <row r="679" spans="1:8" x14ac:dyDescent="0.25">
      <c r="A679" s="1" t="s">
        <v>1592</v>
      </c>
      <c r="B679" s="1" t="s">
        <v>1593</v>
      </c>
      <c r="C679" s="1" t="s">
        <v>1594</v>
      </c>
      <c r="D679" s="1" t="s">
        <v>3289</v>
      </c>
      <c r="E679" s="1" t="s">
        <v>2697</v>
      </c>
      <c r="F679" s="1" t="str">
        <f>"171069352"</f>
        <v>171069352</v>
      </c>
      <c r="G679" s="1" t="str">
        <f>"8002752583"</f>
        <v>8002752583</v>
      </c>
      <c r="H679" s="1" t="s">
        <v>2637</v>
      </c>
    </row>
    <row r="680" spans="1:8" x14ac:dyDescent="0.25">
      <c r="A680" s="1" t="str">
        <f>"892  "</f>
        <v xml:space="preserve">892  </v>
      </c>
      <c r="B680" s="1" t="s">
        <v>1781</v>
      </c>
      <c r="C680" s="1" t="s">
        <v>1782</v>
      </c>
      <c r="D680" s="1" t="s">
        <v>1783</v>
      </c>
      <c r="E680" s="1" t="s">
        <v>2773</v>
      </c>
      <c r="F680" s="1" t="str">
        <f>"14231    "</f>
        <v xml:space="preserve">14231    </v>
      </c>
      <c r="G680" s="1" t="str">
        <f>"8002471466"</f>
        <v>8002471466</v>
      </c>
      <c r="H680" s="1" t="s">
        <v>2637</v>
      </c>
    </row>
    <row r="681" spans="1:8" x14ac:dyDescent="0.25">
      <c r="A681" s="1" t="s">
        <v>1780</v>
      </c>
      <c r="B681" s="1" t="s">
        <v>1781</v>
      </c>
      <c r="C681" s="1" t="s">
        <v>1782</v>
      </c>
      <c r="D681" s="1" t="s">
        <v>1783</v>
      </c>
      <c r="E681" s="1" t="s">
        <v>2773</v>
      </c>
      <c r="F681" s="1" t="str">
        <f>"14231    "</f>
        <v xml:space="preserve">14231    </v>
      </c>
      <c r="G681" s="1" t="str">
        <f>"8666178585"</f>
        <v>8666178585</v>
      </c>
      <c r="H681" s="1" t="s">
        <v>2795</v>
      </c>
    </row>
    <row r="682" spans="1:8" x14ac:dyDescent="0.25">
      <c r="A682" s="1" t="str">
        <f>"975  "</f>
        <v xml:space="preserve">975  </v>
      </c>
      <c r="B682" s="1" t="s">
        <v>677</v>
      </c>
      <c r="C682" s="1" t="s">
        <v>678</v>
      </c>
      <c r="D682" s="1" t="s">
        <v>2323</v>
      </c>
      <c r="E682" s="1" t="s">
        <v>2786</v>
      </c>
      <c r="F682" s="1" t="str">
        <f>"60532    "</f>
        <v xml:space="preserve">60532    </v>
      </c>
      <c r="G682" s="1" t="str">
        <f>"8006453332"</f>
        <v>8006453332</v>
      </c>
      <c r="H682" s="1" t="s">
        <v>679</v>
      </c>
    </row>
    <row r="683" spans="1:8" x14ac:dyDescent="0.25">
      <c r="A683" s="1" t="s">
        <v>1468</v>
      </c>
      <c r="B683" s="1" t="s">
        <v>1469</v>
      </c>
      <c r="C683" s="1" t="s">
        <v>1470</v>
      </c>
      <c r="D683" s="1" t="s">
        <v>2351</v>
      </c>
      <c r="E683" s="1" t="s">
        <v>2667</v>
      </c>
      <c r="F683" s="1" t="str">
        <f>"54402    "</f>
        <v xml:space="preserve">54402    </v>
      </c>
      <c r="G683" s="1" t="str">
        <f>"8775592955"</f>
        <v>8775592955</v>
      </c>
      <c r="H683" s="1" t="s">
        <v>2637</v>
      </c>
    </row>
    <row r="684" spans="1:8" x14ac:dyDescent="0.25">
      <c r="A684" s="1" t="s">
        <v>1179</v>
      </c>
      <c r="B684" s="1" t="s">
        <v>1180</v>
      </c>
      <c r="C684" s="1" t="s">
        <v>1062</v>
      </c>
      <c r="D684" s="1" t="s">
        <v>2528</v>
      </c>
      <c r="E684" s="1" t="s">
        <v>2660</v>
      </c>
      <c r="F684" s="1" t="str">
        <f>"290207845"</f>
        <v>290207845</v>
      </c>
      <c r="G684" s="1" t="str">
        <f>"8774467845"</f>
        <v>8774467845</v>
      </c>
      <c r="H684" s="1" t="s">
        <v>2795</v>
      </c>
    </row>
    <row r="685" spans="1:8" x14ac:dyDescent="0.25">
      <c r="A685" s="1" t="s">
        <v>1060</v>
      </c>
      <c r="B685" s="1" t="s">
        <v>1061</v>
      </c>
      <c r="C685" s="1" t="s">
        <v>1062</v>
      </c>
      <c r="D685" s="1" t="s">
        <v>2528</v>
      </c>
      <c r="E685" s="1" t="s">
        <v>2660</v>
      </c>
      <c r="F685" s="1" t="str">
        <f>"290207845"</f>
        <v>290207845</v>
      </c>
      <c r="G685" s="1" t="str">
        <f>"8774467845"</f>
        <v>8774467845</v>
      </c>
      <c r="H685" s="1" t="s">
        <v>2795</v>
      </c>
    </row>
    <row r="686" spans="1:8" x14ac:dyDescent="0.25">
      <c r="A686" s="1" t="str">
        <f>"178  "</f>
        <v xml:space="preserve">178  </v>
      </c>
      <c r="B686" s="1" t="s">
        <v>3216</v>
      </c>
      <c r="C686" s="1" t="str">
        <f>"5838 W BRICK RD SUITE 106                         "</f>
        <v xml:space="preserve">5838 W BRICK RD SUITE 106                         </v>
      </c>
      <c r="D686" s="1" t="s">
        <v>3217</v>
      </c>
      <c r="E686" s="1" t="s">
        <v>2706</v>
      </c>
      <c r="F686" s="1" t="str">
        <f>"46628    "</f>
        <v xml:space="preserve">46628    </v>
      </c>
      <c r="G686" s="1" t="str">
        <f>"8662006700"</f>
        <v>8662006700</v>
      </c>
      <c r="H686" s="1" t="s">
        <v>3218</v>
      </c>
    </row>
    <row r="687" spans="1:8" x14ac:dyDescent="0.25">
      <c r="A687" s="1" t="str">
        <f>"863  "</f>
        <v xml:space="preserve">863  </v>
      </c>
      <c r="B687" s="1" t="s">
        <v>2806</v>
      </c>
      <c r="C687" s="1" t="s">
        <v>2807</v>
      </c>
      <c r="D687" s="1" t="s">
        <v>2808</v>
      </c>
      <c r="E687" s="1" t="s">
        <v>2809</v>
      </c>
      <c r="F687" s="1" t="str">
        <f>"85069    "</f>
        <v xml:space="preserve">85069    </v>
      </c>
      <c r="G687" s="1" t="str">
        <f>"8008433106"</f>
        <v>8008433106</v>
      </c>
      <c r="H687" s="1" t="s">
        <v>2637</v>
      </c>
    </row>
    <row r="688" spans="1:8" x14ac:dyDescent="0.25">
      <c r="A688" s="1" t="s">
        <v>73</v>
      </c>
      <c r="B688" s="1" t="s">
        <v>74</v>
      </c>
      <c r="C688" s="1" t="s">
        <v>75</v>
      </c>
      <c r="D688" s="1" t="s">
        <v>76</v>
      </c>
      <c r="E688" s="1" t="s">
        <v>2821</v>
      </c>
      <c r="F688" s="1" t="str">
        <f>"08054    "</f>
        <v xml:space="preserve">08054    </v>
      </c>
      <c r="G688" s="1" t="str">
        <f>"8009896739"</f>
        <v>8009896739</v>
      </c>
      <c r="H688" s="1" t="s">
        <v>2637</v>
      </c>
    </row>
    <row r="689" spans="1:8" x14ac:dyDescent="0.25">
      <c r="A689" s="1" t="str">
        <f>"149  "</f>
        <v xml:space="preserve">149  </v>
      </c>
      <c r="B689" s="1" t="s">
        <v>440</v>
      </c>
      <c r="C689" s="1" t="str">
        <f>"195 BROADWAY 11TH FLOOR                           "</f>
        <v xml:space="preserve">195 BROADWAY 11TH FLOOR                           </v>
      </c>
      <c r="D689" s="1" t="s">
        <v>2772</v>
      </c>
      <c r="E689" s="1" t="s">
        <v>2773</v>
      </c>
      <c r="F689" s="1" t="str">
        <f>"100073100"</f>
        <v>100073100</v>
      </c>
      <c r="G689" s="1" t="str">
        <f>"2126184000"</f>
        <v>2126184000</v>
      </c>
      <c r="H689" s="1" t="s">
        <v>2637</v>
      </c>
    </row>
    <row r="690" spans="1:8" x14ac:dyDescent="0.25">
      <c r="A690" s="1" t="str">
        <f>"756  "</f>
        <v xml:space="preserve">756  </v>
      </c>
      <c r="B690" s="1" t="s">
        <v>2935</v>
      </c>
      <c r="C690" s="1" t="s">
        <v>2936</v>
      </c>
      <c r="D690" s="1" t="s">
        <v>2937</v>
      </c>
      <c r="E690" s="1" t="s">
        <v>2731</v>
      </c>
      <c r="F690" s="1" t="str">
        <f>"711719944"</f>
        <v>711719944</v>
      </c>
      <c r="G690" s="1" t="str">
        <f>"8007429944"</f>
        <v>8007429944</v>
      </c>
      <c r="H690" s="1" t="s">
        <v>2637</v>
      </c>
    </row>
    <row r="691" spans="1:8" x14ac:dyDescent="0.25">
      <c r="A691" s="1" t="str">
        <f>"726  "</f>
        <v xml:space="preserve">726  </v>
      </c>
      <c r="B691" s="1" t="s">
        <v>2863</v>
      </c>
      <c r="C691" s="1" t="str">
        <f>"3218 HIGHWAY 67 SUITE 218                         "</f>
        <v xml:space="preserve">3218 HIGHWAY 67 SUITE 218                         </v>
      </c>
      <c r="D691" s="1" t="s">
        <v>2864</v>
      </c>
      <c r="E691" s="1" t="s">
        <v>2636</v>
      </c>
      <c r="F691" s="1" t="str">
        <f>"75150    "</f>
        <v xml:space="preserve">75150    </v>
      </c>
      <c r="G691" s="1" t="str">
        <f>"8008783157"</f>
        <v>8008783157</v>
      </c>
      <c r="H691" s="1" t="s">
        <v>2637</v>
      </c>
    </row>
    <row r="692" spans="1:8" x14ac:dyDescent="0.25">
      <c r="A692" s="1" t="s">
        <v>2546</v>
      </c>
      <c r="B692" s="1" t="s">
        <v>2547</v>
      </c>
      <c r="C692" s="1" t="s">
        <v>2548</v>
      </c>
      <c r="D692" s="1" t="s">
        <v>2181</v>
      </c>
      <c r="E692" s="1" t="s">
        <v>2970</v>
      </c>
      <c r="F692" s="1" t="str">
        <f>"381741799"</f>
        <v>381741799</v>
      </c>
      <c r="G692" s="1" t="str">
        <f>"9017256435"</f>
        <v>9017256435</v>
      </c>
      <c r="H692" s="1" t="s">
        <v>2637</v>
      </c>
    </row>
    <row r="693" spans="1:8" x14ac:dyDescent="0.25">
      <c r="A693" s="1" t="s">
        <v>447</v>
      </c>
      <c r="B693" s="1" t="s">
        <v>2547</v>
      </c>
      <c r="C693" s="1" t="s">
        <v>2548</v>
      </c>
      <c r="D693" s="1" t="s">
        <v>2181</v>
      </c>
      <c r="E693" s="1" t="s">
        <v>2970</v>
      </c>
      <c r="F693" s="1" t="str">
        <f>"381741799"</f>
        <v>381741799</v>
      </c>
      <c r="G693" s="1" t="str">
        <f>"9017256435"</f>
        <v>9017256435</v>
      </c>
      <c r="H693" s="1" t="s">
        <v>2637</v>
      </c>
    </row>
    <row r="694" spans="1:8" x14ac:dyDescent="0.25">
      <c r="A694" s="1" t="s">
        <v>934</v>
      </c>
      <c r="B694" s="1" t="s">
        <v>935</v>
      </c>
      <c r="C694" s="1" t="s">
        <v>936</v>
      </c>
      <c r="D694" s="1" t="s">
        <v>937</v>
      </c>
      <c r="E694" s="1" t="s">
        <v>2663</v>
      </c>
      <c r="F694" s="1" t="str">
        <f>"92607    "</f>
        <v xml:space="preserve">92607    </v>
      </c>
      <c r="G694" s="1" t="str">
        <f>"8003951616"</f>
        <v>8003951616</v>
      </c>
      <c r="H694" s="1" t="s">
        <v>2637</v>
      </c>
    </row>
    <row r="695" spans="1:8" x14ac:dyDescent="0.25">
      <c r="A695" s="1" t="str">
        <f>"735  "</f>
        <v xml:space="preserve">735  </v>
      </c>
      <c r="B695" s="1" t="s">
        <v>3132</v>
      </c>
      <c r="C695" s="1" t="s">
        <v>3133</v>
      </c>
      <c r="D695" s="1" t="s">
        <v>3134</v>
      </c>
      <c r="E695" s="1" t="s">
        <v>2970</v>
      </c>
      <c r="F695" s="1" t="str">
        <f>"38088    "</f>
        <v xml:space="preserve">38088    </v>
      </c>
      <c r="G695" s="1" t="str">
        <f>"9016858980"</f>
        <v>9016858980</v>
      </c>
      <c r="H695" s="1" t="s">
        <v>2637</v>
      </c>
    </row>
    <row r="696" spans="1:8" x14ac:dyDescent="0.25">
      <c r="A696" s="1" t="str">
        <f>"484  "</f>
        <v xml:space="preserve">484  </v>
      </c>
      <c r="B696" s="1" t="s">
        <v>2064</v>
      </c>
      <c r="C696" s="1" t="s">
        <v>2065</v>
      </c>
      <c r="D696" s="1" t="s">
        <v>3144</v>
      </c>
      <c r="E696" s="1" t="s">
        <v>2681</v>
      </c>
      <c r="F696" s="1" t="str">
        <f>"30061    "</f>
        <v xml:space="preserve">30061    </v>
      </c>
      <c r="G696" s="1" t="str">
        <f>"7704281604"</f>
        <v>7704281604</v>
      </c>
      <c r="H696" s="1" t="s">
        <v>2637</v>
      </c>
    </row>
    <row r="697" spans="1:8" x14ac:dyDescent="0.25">
      <c r="A697" s="1" t="s">
        <v>1485</v>
      </c>
      <c r="B697" s="1" t="s">
        <v>1486</v>
      </c>
      <c r="C697" s="1" t="s">
        <v>1487</v>
      </c>
      <c r="D697" s="1" t="s">
        <v>2743</v>
      </c>
      <c r="E697" s="1" t="s">
        <v>2744</v>
      </c>
      <c r="F697" s="1" t="str">
        <f>"40232    "</f>
        <v xml:space="preserve">40232    </v>
      </c>
      <c r="G697" s="1" t="str">
        <f>"5024261843"</f>
        <v>5024261843</v>
      </c>
      <c r="H697" s="1" t="s">
        <v>2688</v>
      </c>
    </row>
    <row r="698" spans="1:8" x14ac:dyDescent="0.25">
      <c r="A698" s="1" t="s">
        <v>1094</v>
      </c>
      <c r="B698" s="1" t="s">
        <v>1095</v>
      </c>
      <c r="C698" s="1" t="str">
        <f>"5445 LASIERRA DR SUITE 400                        "</f>
        <v xml:space="preserve">5445 LASIERRA DR SUITE 400                        </v>
      </c>
      <c r="D698" s="1" t="s">
        <v>2871</v>
      </c>
      <c r="E698" s="1" t="s">
        <v>2636</v>
      </c>
      <c r="F698" s="1" t="str">
        <f>"75231    "</f>
        <v xml:space="preserve">75231    </v>
      </c>
      <c r="G698" s="1" t="str">
        <f>"8009593953"</f>
        <v>8009593953</v>
      </c>
      <c r="H698" s="1" t="s">
        <v>2637</v>
      </c>
    </row>
    <row r="699" spans="1:8" x14ac:dyDescent="0.25">
      <c r="A699" s="1" t="str">
        <f>"465  "</f>
        <v xml:space="preserve">465  </v>
      </c>
      <c r="B699" s="1" t="s">
        <v>2594</v>
      </c>
      <c r="C699" s="1" t="s">
        <v>2595</v>
      </c>
      <c r="D699" s="1" t="s">
        <v>2596</v>
      </c>
      <c r="E699" s="1" t="s">
        <v>2826</v>
      </c>
      <c r="F699" s="1" t="str">
        <f>"801553559"</f>
        <v>801553559</v>
      </c>
      <c r="G699" s="1" t="str">
        <f>"3037705710"</f>
        <v>3037705710</v>
      </c>
      <c r="H699" s="1" t="s">
        <v>2637</v>
      </c>
    </row>
    <row r="700" spans="1:8" x14ac:dyDescent="0.25">
      <c r="A700" s="1" t="str">
        <f>"809  "</f>
        <v xml:space="preserve">809  </v>
      </c>
      <c r="B700" s="1" t="s">
        <v>1873</v>
      </c>
      <c r="C700" s="1" t="str">
        <f>"300 SOUTH PARK PO BOX 6002                        "</f>
        <v xml:space="preserve">300 SOUTH PARK PO BOX 6002                        </v>
      </c>
      <c r="D700" s="1" t="s">
        <v>1874</v>
      </c>
      <c r="E700" s="1" t="s">
        <v>2663</v>
      </c>
      <c r="F700" s="1" t="str">
        <f>"917696002"</f>
        <v>917696002</v>
      </c>
      <c r="G700" s="1" t="str">
        <f>"8002518191"</f>
        <v>8002518191</v>
      </c>
      <c r="H700" s="1" t="s">
        <v>2688</v>
      </c>
    </row>
    <row r="701" spans="1:8" x14ac:dyDescent="0.25">
      <c r="A701" s="1" t="s">
        <v>1233</v>
      </c>
      <c r="B701" s="1" t="s">
        <v>1234</v>
      </c>
      <c r="C701" s="1" t="s">
        <v>1235</v>
      </c>
      <c r="D701" s="1" t="s">
        <v>2067</v>
      </c>
      <c r="E701" s="1" t="s">
        <v>2677</v>
      </c>
      <c r="F701" s="1" t="str">
        <f>"27619    "</f>
        <v xml:space="preserve">27619    </v>
      </c>
      <c r="G701" s="1" t="str">
        <f>"9198468400"</f>
        <v>9198468400</v>
      </c>
      <c r="H701" s="1" t="s">
        <v>2637</v>
      </c>
    </row>
    <row r="702" spans="1:8" x14ac:dyDescent="0.25">
      <c r="A702" s="1" t="s">
        <v>488</v>
      </c>
      <c r="B702" s="1" t="s">
        <v>489</v>
      </c>
      <c r="C702" s="1" t="s">
        <v>490</v>
      </c>
      <c r="D702" s="1" t="s">
        <v>2335</v>
      </c>
      <c r="E702" s="1" t="s">
        <v>2749</v>
      </c>
      <c r="F702" s="1" t="str">
        <f>"672770510"</f>
        <v>672770510</v>
      </c>
      <c r="G702" s="1" t="s">
        <v>2637</v>
      </c>
      <c r="H702" s="1" t="s">
        <v>2760</v>
      </c>
    </row>
    <row r="703" spans="1:8" x14ac:dyDescent="0.25">
      <c r="A703" s="1" t="str">
        <f>"129  "</f>
        <v xml:space="preserve">129  </v>
      </c>
      <c r="B703" s="1" t="s">
        <v>381</v>
      </c>
      <c r="C703" s="1" t="str">
        <f>"101 LINDENWOOD DR, STE 150                        "</f>
        <v xml:space="preserve">101 LINDENWOOD DR, STE 150                        </v>
      </c>
      <c r="D703" s="1" t="s">
        <v>382</v>
      </c>
      <c r="E703" s="1" t="s">
        <v>2697</v>
      </c>
      <c r="F703" s="1" t="str">
        <f>"19355    "</f>
        <v xml:space="preserve">19355    </v>
      </c>
      <c r="G703" s="1" t="str">
        <f>"8005379389"</f>
        <v>8005379389</v>
      </c>
      <c r="H703" s="1" t="s">
        <v>2637</v>
      </c>
    </row>
    <row r="704" spans="1:8" x14ac:dyDescent="0.25">
      <c r="A704" s="1" t="s">
        <v>396</v>
      </c>
      <c r="B704" s="1" t="s">
        <v>397</v>
      </c>
      <c r="C704" s="1" t="str">
        <f>"4950 NE BELNAP CT  #205                           "</f>
        <v xml:space="preserve">4950 NE BELNAP CT  #205                           </v>
      </c>
      <c r="D704" s="1" t="s">
        <v>398</v>
      </c>
      <c r="E704" s="1" t="s">
        <v>2127</v>
      </c>
      <c r="F704" s="1" t="str">
        <f>"97124    "</f>
        <v xml:space="preserve">97124    </v>
      </c>
      <c r="G704" s="1" t="str">
        <f>"5036402000"</f>
        <v>5036402000</v>
      </c>
      <c r="H704" s="1" t="s">
        <v>2760</v>
      </c>
    </row>
    <row r="705" spans="1:8" x14ac:dyDescent="0.25">
      <c r="A705" s="1" t="s">
        <v>2689</v>
      </c>
      <c r="B705" s="1" t="s">
        <v>2690</v>
      </c>
      <c r="C705" s="1" t="str">
        <f>"1747 PENNSYLVANIA AVE NORTH WEST                  "</f>
        <v xml:space="preserve">1747 PENNSYLVANIA AVE NORTH WEST                  </v>
      </c>
      <c r="D705" s="1" t="s">
        <v>2691</v>
      </c>
      <c r="E705" s="1" t="s">
        <v>2692</v>
      </c>
      <c r="F705" s="1" t="str">
        <f>"20006    "</f>
        <v xml:space="preserve">20006    </v>
      </c>
      <c r="G705" s="1" t="str">
        <f>"8002751171"</f>
        <v>8002751171</v>
      </c>
      <c r="H705" s="1" t="s">
        <v>2637</v>
      </c>
    </row>
    <row r="706" spans="1:8" x14ac:dyDescent="0.25">
      <c r="A706" s="1" t="str">
        <f>"983  "</f>
        <v xml:space="preserve">983  </v>
      </c>
      <c r="B706" s="1" t="s">
        <v>1652</v>
      </c>
      <c r="C706" s="1" t="str">
        <f>"3901 E. WINSLOW AVE                               "</f>
        <v xml:space="preserve">3901 E. WINSLOW AVE                               </v>
      </c>
      <c r="D706" s="1" t="s">
        <v>2808</v>
      </c>
      <c r="E706" s="1" t="s">
        <v>2809</v>
      </c>
      <c r="F706" s="1" t="str">
        <f>"85040    "</f>
        <v xml:space="preserve">85040    </v>
      </c>
      <c r="G706" s="1" t="str">
        <f>"6022340497"</f>
        <v>6022340497</v>
      </c>
      <c r="H706" s="1" t="s">
        <v>2637</v>
      </c>
    </row>
    <row r="707" spans="1:8" x14ac:dyDescent="0.25">
      <c r="A707" s="1" t="str">
        <f>"101  "</f>
        <v xml:space="preserve">101  </v>
      </c>
      <c r="B707" s="1" t="s">
        <v>1935</v>
      </c>
      <c r="C707" s="1" t="str">
        <f>"27092 BURBANK ST                                  "</f>
        <v xml:space="preserve">27092 BURBANK ST                                  </v>
      </c>
      <c r="D707" s="1" t="s">
        <v>1936</v>
      </c>
      <c r="E707" s="1" t="s">
        <v>2663</v>
      </c>
      <c r="F707" s="1" t="str">
        <f>"92610    "</f>
        <v xml:space="preserve">92610    </v>
      </c>
      <c r="G707" s="1" t="str">
        <f>"8779167920"</f>
        <v>8779167920</v>
      </c>
      <c r="H707" s="1" t="s">
        <v>1937</v>
      </c>
    </row>
    <row r="708" spans="1:8" x14ac:dyDescent="0.25">
      <c r="A708" s="1" t="str">
        <f>"189  "</f>
        <v xml:space="preserve">189  </v>
      </c>
      <c r="B708" s="1" t="s">
        <v>87</v>
      </c>
      <c r="C708" s="1" t="s">
        <v>88</v>
      </c>
      <c r="D708" s="1" t="s">
        <v>89</v>
      </c>
      <c r="E708" s="1" t="s">
        <v>2773</v>
      </c>
      <c r="F708" s="1" t="str">
        <f>"148510307"</f>
        <v>148510307</v>
      </c>
      <c r="G708" s="1" t="str">
        <f>"8664337462"</f>
        <v>8664337462</v>
      </c>
      <c r="H708" s="1" t="s">
        <v>2637</v>
      </c>
    </row>
    <row r="709" spans="1:8" x14ac:dyDescent="0.25">
      <c r="A709" s="1" t="str">
        <f>"464  "</f>
        <v xml:space="preserve">464  </v>
      </c>
      <c r="B709" s="1" t="s">
        <v>789</v>
      </c>
      <c r="C709" s="1" t="str">
        <f>"407 N. FULTON STREET                              "</f>
        <v xml:space="preserve">407 N. FULTON STREET                              </v>
      </c>
      <c r="D709" s="1" t="s">
        <v>2705</v>
      </c>
      <c r="E709" s="1" t="s">
        <v>2706</v>
      </c>
      <c r="F709" s="1" t="str">
        <f>"46202    "</f>
        <v xml:space="preserve">46202    </v>
      </c>
      <c r="G709" s="1" t="str">
        <f>"8006284664"</f>
        <v>8006284664</v>
      </c>
      <c r="H709" s="1" t="s">
        <v>2637</v>
      </c>
    </row>
    <row r="710" spans="1:8" x14ac:dyDescent="0.25">
      <c r="A710" s="1" t="str">
        <f>"473  "</f>
        <v xml:space="preserve">473  </v>
      </c>
      <c r="B710" s="1" t="s">
        <v>1630</v>
      </c>
      <c r="C710" s="1" t="s">
        <v>1631</v>
      </c>
      <c r="D710" s="1" t="s">
        <v>1540</v>
      </c>
      <c r="E710" s="1" t="s">
        <v>3164</v>
      </c>
      <c r="F710" s="1" t="str">
        <f>"232300767"</f>
        <v>232300767</v>
      </c>
      <c r="G710" s="1" t="str">
        <f>"8042191585"</f>
        <v>8042191585</v>
      </c>
      <c r="H710" s="1" t="s">
        <v>2688</v>
      </c>
    </row>
    <row r="711" spans="1:8" x14ac:dyDescent="0.25">
      <c r="A711" s="1" t="str">
        <f>"454  "</f>
        <v xml:space="preserve">454  </v>
      </c>
      <c r="B711" s="1" t="s">
        <v>423</v>
      </c>
      <c r="C711" s="1" t="str">
        <f>"166 WEST KELLY STREET                             "</f>
        <v xml:space="preserve">166 WEST KELLY STREET                             </v>
      </c>
      <c r="D711" s="1" t="s">
        <v>424</v>
      </c>
      <c r="E711" s="1" t="s">
        <v>2821</v>
      </c>
      <c r="F711" s="1" t="str">
        <f>"08840    "</f>
        <v xml:space="preserve">08840    </v>
      </c>
      <c r="G711" s="1" t="str">
        <f>"9085486662"</f>
        <v>9085486662</v>
      </c>
      <c r="H711" s="1" t="s">
        <v>2637</v>
      </c>
    </row>
    <row r="712" spans="1:8" x14ac:dyDescent="0.25">
      <c r="A712" s="1" t="str">
        <f>"411  "</f>
        <v xml:space="preserve">411  </v>
      </c>
      <c r="B712" s="1" t="s">
        <v>113</v>
      </c>
      <c r="C712" s="1" t="s">
        <v>114</v>
      </c>
      <c r="D712" s="1" t="s">
        <v>2413</v>
      </c>
      <c r="E712" s="1" t="s">
        <v>2636</v>
      </c>
      <c r="F712" s="1" t="str">
        <f>"76006    "</f>
        <v xml:space="preserve">76006    </v>
      </c>
      <c r="G712" s="1" t="str">
        <f>"8660511-47"</f>
        <v>8660511-47</v>
      </c>
      <c r="H712" s="1" t="s">
        <v>2688</v>
      </c>
    </row>
    <row r="713" spans="1:8" x14ac:dyDescent="0.25">
      <c r="A713" s="1" t="s">
        <v>3252</v>
      </c>
      <c r="B713" s="1" t="s">
        <v>3253</v>
      </c>
      <c r="C713" s="1" t="str">
        <f>"3 TOILSOME LANE                                   "</f>
        <v xml:space="preserve">3 TOILSOME LANE                                   </v>
      </c>
      <c r="D713" s="1" t="s">
        <v>3254</v>
      </c>
      <c r="E713" s="1" t="s">
        <v>2773</v>
      </c>
      <c r="F713" s="1" t="str">
        <f>"11937    "</f>
        <v xml:space="preserve">11937    </v>
      </c>
      <c r="G713" s="1" t="str">
        <f>"8009262306"</f>
        <v>8009262306</v>
      </c>
      <c r="H713" s="1" t="s">
        <v>2688</v>
      </c>
    </row>
    <row r="714" spans="1:8" x14ac:dyDescent="0.25">
      <c r="A714" s="1" t="str">
        <f>"958  "</f>
        <v xml:space="preserve">958  </v>
      </c>
      <c r="B714" s="1" t="s">
        <v>1488</v>
      </c>
      <c r="C714" s="1" t="s">
        <v>1489</v>
      </c>
      <c r="D714" s="1" t="s">
        <v>2680</v>
      </c>
      <c r="E714" s="1" t="s">
        <v>2681</v>
      </c>
      <c r="F714" s="1" t="str">
        <f>"31416    "</f>
        <v xml:space="preserve">31416    </v>
      </c>
      <c r="G714" s="1" t="str">
        <f>"9123527169"</f>
        <v>9123527169</v>
      </c>
      <c r="H714" s="1" t="s">
        <v>2637</v>
      </c>
    </row>
    <row r="715" spans="1:8" x14ac:dyDescent="0.25">
      <c r="A715" s="1" t="str">
        <f>"958DN"</f>
        <v>958DN</v>
      </c>
      <c r="B715" s="1" t="s">
        <v>1488</v>
      </c>
      <c r="C715" s="1" t="s">
        <v>1489</v>
      </c>
      <c r="D715" s="1" t="s">
        <v>2680</v>
      </c>
      <c r="E715" s="1" t="s">
        <v>2681</v>
      </c>
      <c r="F715" s="1" t="str">
        <f>"31416    "</f>
        <v xml:space="preserve">31416    </v>
      </c>
      <c r="G715" s="1" t="str">
        <f>"9123527169"</f>
        <v>9123527169</v>
      </c>
      <c r="H715" s="1" t="s">
        <v>2637</v>
      </c>
    </row>
    <row r="716" spans="1:8" x14ac:dyDescent="0.25">
      <c r="A716" s="1" t="str">
        <f>"757  "</f>
        <v xml:space="preserve">757  </v>
      </c>
      <c r="B716" s="1" t="s">
        <v>2510</v>
      </c>
      <c r="C716" s="1" t="s">
        <v>2511</v>
      </c>
      <c r="D716" s="1" t="s">
        <v>2074</v>
      </c>
      <c r="E716" s="1" t="s">
        <v>2636</v>
      </c>
      <c r="F716" s="1" t="str">
        <f>"750860909"</f>
        <v>750860909</v>
      </c>
      <c r="G716" s="1" t="str">
        <f>"9728816000"</f>
        <v>9728816000</v>
      </c>
      <c r="H716" s="1" t="s">
        <v>2637</v>
      </c>
    </row>
    <row r="717" spans="1:8" x14ac:dyDescent="0.25">
      <c r="A717" s="1" t="str">
        <f>"827  "</f>
        <v xml:space="preserve">827  </v>
      </c>
      <c r="B717" s="1" t="s">
        <v>1045</v>
      </c>
      <c r="C717" s="1" t="s">
        <v>1046</v>
      </c>
      <c r="D717" s="1" t="s">
        <v>1047</v>
      </c>
      <c r="E717" s="1" t="s">
        <v>2681</v>
      </c>
      <c r="F717" s="1" t="str">
        <f>"30271    "</f>
        <v xml:space="preserve">30271    </v>
      </c>
      <c r="G717" s="1" t="str">
        <f>"8882954864"</f>
        <v>8882954864</v>
      </c>
      <c r="H717" s="1" t="s">
        <v>2637</v>
      </c>
    </row>
    <row r="718" spans="1:8" x14ac:dyDescent="0.25">
      <c r="A718" s="1" t="str">
        <f>"996  "</f>
        <v xml:space="preserve">996  </v>
      </c>
      <c r="B718" s="1" t="s">
        <v>718</v>
      </c>
      <c r="C718" s="1" t="s">
        <v>719</v>
      </c>
      <c r="D718" s="1" t="s">
        <v>2705</v>
      </c>
      <c r="E718" s="1" t="s">
        <v>2706</v>
      </c>
      <c r="F718" s="1" t="str">
        <f>"46268    "</f>
        <v xml:space="preserve">46268    </v>
      </c>
      <c r="G718" s="1" t="str">
        <f>"8003313287"</f>
        <v>8003313287</v>
      </c>
      <c r="H718" s="1" t="s">
        <v>720</v>
      </c>
    </row>
    <row r="719" spans="1:8" x14ac:dyDescent="0.25">
      <c r="A719" s="1" t="str">
        <f>"335  "</f>
        <v xml:space="preserve">335  </v>
      </c>
      <c r="B719" s="1" t="s">
        <v>1281</v>
      </c>
      <c r="C719" s="1" t="s">
        <v>1282</v>
      </c>
      <c r="D719" s="1" t="s">
        <v>1283</v>
      </c>
      <c r="E719" s="1" t="s">
        <v>2714</v>
      </c>
      <c r="F719" s="1" t="str">
        <f>"441468022"</f>
        <v>441468022</v>
      </c>
      <c r="G719" s="1" t="str">
        <f>"4402504300"</f>
        <v>4402504300</v>
      </c>
      <c r="H719" s="1" t="s">
        <v>2637</v>
      </c>
    </row>
    <row r="720" spans="1:8" x14ac:dyDescent="0.25">
      <c r="A720" s="1" t="str">
        <f>"676  "</f>
        <v xml:space="preserve">676  </v>
      </c>
      <c r="B720" s="1" t="s">
        <v>1815</v>
      </c>
      <c r="C720" s="1" t="str">
        <f>"-                                                 "</f>
        <v xml:space="preserve">-                                                 </v>
      </c>
      <c r="D720" s="1" t="str">
        <f>"-                                      "</f>
        <v xml:space="preserve">-                                      </v>
      </c>
      <c r="E720" s="1" t="str">
        <f>"- "</f>
        <v xml:space="preserve">- </v>
      </c>
      <c r="F720" s="1" t="str">
        <f>"-        "</f>
        <v xml:space="preserve">-        </v>
      </c>
      <c r="G720" s="1" t="s">
        <v>2637</v>
      </c>
      <c r="H720" s="1" t="s">
        <v>2637</v>
      </c>
    </row>
    <row r="721" spans="1:8" x14ac:dyDescent="0.25">
      <c r="A721" s="1" t="str">
        <f>"109  "</f>
        <v xml:space="preserve">109  </v>
      </c>
      <c r="B721" s="1" t="s">
        <v>481</v>
      </c>
      <c r="C721" s="1" t="s">
        <v>482</v>
      </c>
      <c r="D721" s="1" t="s">
        <v>2058</v>
      </c>
      <c r="E721" s="1" t="s">
        <v>2677</v>
      </c>
      <c r="F721" s="1" t="str">
        <f>"27420    "</f>
        <v xml:space="preserve">27420    </v>
      </c>
      <c r="G721" s="1" t="str">
        <f>"3366913000"</f>
        <v>3366913000</v>
      </c>
      <c r="H721" s="1" t="s">
        <v>2637</v>
      </c>
    </row>
    <row r="722" spans="1:8" x14ac:dyDescent="0.25">
      <c r="A722" s="1" t="str">
        <f>"514  "</f>
        <v xml:space="preserve">514  </v>
      </c>
      <c r="B722" s="1" t="s">
        <v>1677</v>
      </c>
      <c r="C722" s="1" t="s">
        <v>1678</v>
      </c>
      <c r="D722" s="1" t="s">
        <v>1634</v>
      </c>
      <c r="E722" s="1" t="s">
        <v>2773</v>
      </c>
      <c r="F722" s="1" t="str">
        <f>"12110    "</f>
        <v xml:space="preserve">12110    </v>
      </c>
      <c r="G722" s="1" t="str">
        <f>"8007933773"</f>
        <v>8007933773</v>
      </c>
      <c r="H722" s="1" t="s">
        <v>1679</v>
      </c>
    </row>
    <row r="723" spans="1:8" x14ac:dyDescent="0.25">
      <c r="A723" s="1" t="s">
        <v>2279</v>
      </c>
      <c r="B723" s="1" t="s">
        <v>2280</v>
      </c>
      <c r="C723" s="1" t="str">
        <f>"8019 BAYBERRY RD                                  "</f>
        <v xml:space="preserve">8019 BAYBERRY RD                                  </v>
      </c>
      <c r="D723" s="1" t="s">
        <v>2834</v>
      </c>
      <c r="E723" s="1" t="s">
        <v>2832</v>
      </c>
      <c r="F723" s="1" t="str">
        <f>"32256    "</f>
        <v xml:space="preserve">32256    </v>
      </c>
      <c r="G723" s="1" t="str">
        <f>"8008920059"</f>
        <v>8008920059</v>
      </c>
      <c r="H723" s="1" t="s">
        <v>2760</v>
      </c>
    </row>
    <row r="724" spans="1:8" x14ac:dyDescent="0.25">
      <c r="A724" s="1" t="str">
        <f>"885  "</f>
        <v xml:space="preserve">885  </v>
      </c>
      <c r="B724" s="1" t="s">
        <v>2315</v>
      </c>
      <c r="C724" s="1" t="s">
        <v>2316</v>
      </c>
      <c r="D724" s="1" t="s">
        <v>2317</v>
      </c>
      <c r="E724" s="1" t="s">
        <v>2832</v>
      </c>
      <c r="F724" s="1" t="str">
        <f>"33102    "</f>
        <v xml:space="preserve">33102    </v>
      </c>
      <c r="G724" s="1" t="str">
        <f>"8003284316"</f>
        <v>8003284316</v>
      </c>
      <c r="H724" s="1" t="s">
        <v>2637</v>
      </c>
    </row>
    <row r="725" spans="1:8" x14ac:dyDescent="0.25">
      <c r="A725" s="1" t="str">
        <f>"885DN"</f>
        <v>885DN</v>
      </c>
      <c r="B725" s="1" t="s">
        <v>2315</v>
      </c>
      <c r="C725" s="1" t="s">
        <v>2316</v>
      </c>
      <c r="D725" s="1" t="s">
        <v>2317</v>
      </c>
      <c r="E725" s="1" t="s">
        <v>2832</v>
      </c>
      <c r="F725" s="1" t="str">
        <f>"33102    "</f>
        <v xml:space="preserve">33102    </v>
      </c>
      <c r="G725" s="1" t="str">
        <f>"8003284316"</f>
        <v>8003284316</v>
      </c>
      <c r="H725" s="1" t="s">
        <v>2637</v>
      </c>
    </row>
    <row r="726" spans="1:8" x14ac:dyDescent="0.25">
      <c r="A726" s="1" t="str">
        <f>"202  "</f>
        <v xml:space="preserve">202  </v>
      </c>
      <c r="B726" s="1" t="s">
        <v>680</v>
      </c>
      <c r="C726" s="1" t="s">
        <v>681</v>
      </c>
      <c r="D726" s="1" t="s">
        <v>2042</v>
      </c>
      <c r="E726" s="1" t="s">
        <v>3118</v>
      </c>
      <c r="F726" s="1" t="str">
        <f>"02117    "</f>
        <v xml:space="preserve">02117    </v>
      </c>
      <c r="G726" s="1" t="str">
        <f>"8002331449"</f>
        <v>8002331449</v>
      </c>
      <c r="H726" s="1" t="s">
        <v>2637</v>
      </c>
    </row>
    <row r="727" spans="1:8" x14ac:dyDescent="0.25">
      <c r="A727" s="1" t="s">
        <v>174</v>
      </c>
      <c r="B727" s="1" t="s">
        <v>175</v>
      </c>
      <c r="C727" s="1" t="s">
        <v>176</v>
      </c>
      <c r="D727" s="1" t="s">
        <v>2042</v>
      </c>
      <c r="E727" s="1" t="s">
        <v>3118</v>
      </c>
      <c r="F727" s="1" t="str">
        <f>"02116    "</f>
        <v xml:space="preserve">02116    </v>
      </c>
      <c r="G727" s="1" t="str">
        <f>"8003777311"</f>
        <v>8003777311</v>
      </c>
      <c r="H727" s="1" t="s">
        <v>2637</v>
      </c>
    </row>
    <row r="728" spans="1:8" x14ac:dyDescent="0.25">
      <c r="A728" s="1" t="s">
        <v>629</v>
      </c>
      <c r="B728" s="1" t="s">
        <v>630</v>
      </c>
      <c r="C728" s="1" t="str">
        <f>"6704 CURTIS COURT                                 "</f>
        <v xml:space="preserve">6704 CURTIS COURT                                 </v>
      </c>
      <c r="D728" s="1" t="s">
        <v>2462</v>
      </c>
      <c r="E728" s="1" t="s">
        <v>2647</v>
      </c>
      <c r="F728" s="1" t="str">
        <f>"21060    "</f>
        <v xml:space="preserve">21060    </v>
      </c>
      <c r="G728" s="1" t="str">
        <f>"8002612393"</f>
        <v>8002612393</v>
      </c>
      <c r="H728" s="1" t="s">
        <v>2637</v>
      </c>
    </row>
    <row r="729" spans="1:8" x14ac:dyDescent="0.25">
      <c r="A729" s="1" t="str">
        <f>"417  "</f>
        <v xml:space="preserve">417  </v>
      </c>
      <c r="B729" s="1" t="s">
        <v>910</v>
      </c>
      <c r="C729" s="1" t="str">
        <f>"5 GATEWAY CENTER STE 60                           "</f>
        <v xml:space="preserve">5 GATEWAY CENTER STE 60                           </v>
      </c>
      <c r="D729" s="1" t="s">
        <v>3123</v>
      </c>
      <c r="E729" s="1" t="s">
        <v>2697</v>
      </c>
      <c r="F729" s="1" t="str">
        <f>"15222    "</f>
        <v xml:space="preserve">15222    </v>
      </c>
      <c r="G729" s="1" t="str">
        <f>"8669008322"</f>
        <v>8669008322</v>
      </c>
      <c r="H729" s="1" t="s">
        <v>3218</v>
      </c>
    </row>
    <row r="730" spans="1:8" x14ac:dyDescent="0.25">
      <c r="A730" s="1" t="s">
        <v>243</v>
      </c>
      <c r="B730" s="1" t="s">
        <v>244</v>
      </c>
      <c r="C730" s="1" t="s">
        <v>3023</v>
      </c>
      <c r="D730" s="1" t="s">
        <v>3024</v>
      </c>
      <c r="E730" s="1" t="s">
        <v>2663</v>
      </c>
      <c r="F730" s="1" t="str">
        <f>"902427004"</f>
        <v>902427004</v>
      </c>
      <c r="G730" s="1" t="str">
        <f>"8003310420"</f>
        <v>8003310420</v>
      </c>
      <c r="H730" s="1" t="s">
        <v>2760</v>
      </c>
    </row>
    <row r="731" spans="1:8" x14ac:dyDescent="0.25">
      <c r="A731" s="1" t="str">
        <f>"104  "</f>
        <v xml:space="preserve">104  </v>
      </c>
      <c r="B731" s="1" t="s">
        <v>3022</v>
      </c>
      <c r="C731" s="1" t="s">
        <v>3023</v>
      </c>
      <c r="D731" s="1" t="s">
        <v>3024</v>
      </c>
      <c r="E731" s="1" t="s">
        <v>2663</v>
      </c>
      <c r="F731" s="1" t="str">
        <f>"90242    "</f>
        <v xml:space="preserve">90242    </v>
      </c>
      <c r="G731" s="1" t="str">
        <f>"8003903510"</f>
        <v>8003903510</v>
      </c>
      <c r="H731" s="1" t="s">
        <v>2688</v>
      </c>
    </row>
    <row r="732" spans="1:8" x14ac:dyDescent="0.25">
      <c r="A732" s="1" t="str">
        <f>"528  "</f>
        <v xml:space="preserve">528  </v>
      </c>
      <c r="B732" s="1" t="s">
        <v>1530</v>
      </c>
      <c r="C732" s="1" t="s">
        <v>1531</v>
      </c>
      <c r="D732" s="1" t="s">
        <v>1532</v>
      </c>
      <c r="E732" s="1" t="s">
        <v>2681</v>
      </c>
      <c r="F732" s="1" t="str">
        <f>"31119    "</f>
        <v xml:space="preserve">31119    </v>
      </c>
      <c r="G732" s="1" t="str">
        <f>"8006111811"</f>
        <v>8006111811</v>
      </c>
      <c r="H732" s="1" t="s">
        <v>2795</v>
      </c>
    </row>
    <row r="733" spans="1:8" x14ac:dyDescent="0.25">
      <c r="A733" s="1" t="s">
        <v>1945</v>
      </c>
      <c r="B733" s="1" t="s">
        <v>1530</v>
      </c>
      <c r="C733" s="1" t="s">
        <v>1531</v>
      </c>
      <c r="D733" s="1" t="s">
        <v>2717</v>
      </c>
      <c r="E733" s="1" t="s">
        <v>2681</v>
      </c>
      <c r="F733" s="1" t="str">
        <f>"31119    "</f>
        <v xml:space="preserve">31119    </v>
      </c>
      <c r="G733" s="1" t="str">
        <f>"4042612590"</f>
        <v>4042612590</v>
      </c>
      <c r="H733" s="1" t="s">
        <v>2637</v>
      </c>
    </row>
    <row r="734" spans="1:8" x14ac:dyDescent="0.25">
      <c r="A734" s="1" t="str">
        <f>"537  "</f>
        <v xml:space="preserve">537  </v>
      </c>
      <c r="B734" s="1" t="s">
        <v>590</v>
      </c>
      <c r="C734" s="1" t="s">
        <v>591</v>
      </c>
      <c r="D734" s="1" t="s">
        <v>2713</v>
      </c>
      <c r="E734" s="1" t="s">
        <v>2714</v>
      </c>
      <c r="F734" s="1" t="str">
        <f>"441010316"</f>
        <v>441010316</v>
      </c>
      <c r="G734" s="1" t="str">
        <f>"8006348816"</f>
        <v>8006348816</v>
      </c>
      <c r="H734" s="1" t="s">
        <v>2688</v>
      </c>
    </row>
    <row r="735" spans="1:8" x14ac:dyDescent="0.25">
      <c r="A735" s="1" t="s">
        <v>1697</v>
      </c>
      <c r="B735" s="1" t="s">
        <v>2967</v>
      </c>
      <c r="C735" s="1" t="s">
        <v>2968</v>
      </c>
      <c r="D735" s="1" t="s">
        <v>2969</v>
      </c>
      <c r="E735" s="1" t="s">
        <v>2970</v>
      </c>
      <c r="F735" s="1" t="str">
        <f>"379500098"</f>
        <v>379500098</v>
      </c>
      <c r="G735" s="1" t="str">
        <f>"8008221274"</f>
        <v>8008221274</v>
      </c>
      <c r="H735" s="1" t="s">
        <v>2637</v>
      </c>
    </row>
    <row r="736" spans="1:8" x14ac:dyDescent="0.25">
      <c r="A736" s="1" t="s">
        <v>2966</v>
      </c>
      <c r="B736" s="1" t="s">
        <v>2967</v>
      </c>
      <c r="C736" s="1" t="s">
        <v>2968</v>
      </c>
      <c r="D736" s="1" t="s">
        <v>2969</v>
      </c>
      <c r="E736" s="1" t="s">
        <v>2970</v>
      </c>
      <c r="F736" s="1" t="str">
        <f>"379500098"</f>
        <v>379500098</v>
      </c>
      <c r="G736" s="1" t="str">
        <f>"8008221274"</f>
        <v>8008221274</v>
      </c>
      <c r="H736" s="1" t="s">
        <v>2637</v>
      </c>
    </row>
    <row r="737" spans="1:8" x14ac:dyDescent="0.25">
      <c r="A737" s="1" t="str">
        <f>"153  "</f>
        <v xml:space="preserve">153  </v>
      </c>
      <c r="B737" s="1" t="s">
        <v>2849</v>
      </c>
      <c r="C737" s="1" t="s">
        <v>2850</v>
      </c>
      <c r="D737" s="1" t="s">
        <v>2696</v>
      </c>
      <c r="E737" s="1" t="s">
        <v>2660</v>
      </c>
      <c r="F737" s="1" t="str">
        <f>"29721    "</f>
        <v xml:space="preserve">29721    </v>
      </c>
      <c r="G737" s="1" t="str">
        <f>"8032862440"</f>
        <v>8032862440</v>
      </c>
      <c r="H737" s="1" t="s">
        <v>2637</v>
      </c>
    </row>
    <row r="738" spans="1:8" x14ac:dyDescent="0.25">
      <c r="A738" s="1" t="str">
        <f>"153DN"</f>
        <v>153DN</v>
      </c>
      <c r="B738" s="1" t="s">
        <v>2849</v>
      </c>
      <c r="C738" s="1" t="s">
        <v>2850</v>
      </c>
      <c r="D738" s="1" t="s">
        <v>2696</v>
      </c>
      <c r="E738" s="1" t="s">
        <v>2660</v>
      </c>
      <c r="F738" s="1" t="str">
        <f>"29721    "</f>
        <v xml:space="preserve">29721    </v>
      </c>
      <c r="G738" s="1" t="str">
        <f>"8032862440"</f>
        <v>8032862440</v>
      </c>
      <c r="H738" s="1" t="s">
        <v>2637</v>
      </c>
    </row>
    <row r="739" spans="1:8" x14ac:dyDescent="0.25">
      <c r="A739" s="1" t="str">
        <f>"868  "</f>
        <v xml:space="preserve">868  </v>
      </c>
      <c r="B739" s="1" t="s">
        <v>2810</v>
      </c>
      <c r="C739" s="1" t="s">
        <v>2811</v>
      </c>
      <c r="D739" s="1" t="s">
        <v>2685</v>
      </c>
      <c r="E739" s="1" t="s">
        <v>2670</v>
      </c>
      <c r="F739" s="1" t="str">
        <f>"64121    "</f>
        <v xml:space="preserve">64121    </v>
      </c>
      <c r="G739" s="1" t="str">
        <f>"8008745254"</f>
        <v>8008745254</v>
      </c>
      <c r="H739" s="1" t="s">
        <v>2637</v>
      </c>
    </row>
    <row r="740" spans="1:8" x14ac:dyDescent="0.25">
      <c r="A740" s="1" t="s">
        <v>2756</v>
      </c>
      <c r="B740" s="1" t="s">
        <v>2757</v>
      </c>
      <c r="C740" s="1" t="s">
        <v>2758</v>
      </c>
      <c r="D740" s="1" t="s">
        <v>2759</v>
      </c>
      <c r="E740" s="1" t="s">
        <v>2663</v>
      </c>
      <c r="F740" s="1" t="str">
        <f>"90510    "</f>
        <v xml:space="preserve">90510    </v>
      </c>
      <c r="G740" s="1" t="str">
        <f>"8006533626"</f>
        <v>8006533626</v>
      </c>
      <c r="H740" s="1" t="s">
        <v>2760</v>
      </c>
    </row>
    <row r="741" spans="1:8" x14ac:dyDescent="0.25">
      <c r="A741" s="1" t="str">
        <f>"677  "</f>
        <v xml:space="preserve">677  </v>
      </c>
      <c r="B741" s="1" t="s">
        <v>315</v>
      </c>
      <c r="C741" s="1" t="str">
        <f>"-                                                 "</f>
        <v xml:space="preserve">-                                                 </v>
      </c>
      <c r="D741" s="1" t="str">
        <f>"-                                      "</f>
        <v xml:space="preserve">-                                      </v>
      </c>
      <c r="E741" s="1" t="str">
        <f>"- "</f>
        <v xml:space="preserve">- </v>
      </c>
      <c r="F741" s="1" t="str">
        <f>"-        "</f>
        <v xml:space="preserve">-        </v>
      </c>
      <c r="G741" s="1" t="s">
        <v>2637</v>
      </c>
      <c r="H741" s="1" t="s">
        <v>2637</v>
      </c>
    </row>
    <row r="742" spans="1:8" x14ac:dyDescent="0.25">
      <c r="A742" s="1" t="str">
        <f>"760  "</f>
        <v xml:space="preserve">760  </v>
      </c>
      <c r="B742" s="1" t="s">
        <v>1445</v>
      </c>
      <c r="C742" s="1" t="s">
        <v>1446</v>
      </c>
      <c r="D742" s="1" t="s">
        <v>2705</v>
      </c>
      <c r="E742" s="1" t="s">
        <v>2706</v>
      </c>
      <c r="F742" s="1" t="str">
        <f>"46205    "</f>
        <v xml:space="preserve">46205    </v>
      </c>
      <c r="G742" s="1" t="str">
        <f>"8003314757"</f>
        <v>8003314757</v>
      </c>
      <c r="H742" s="1" t="s">
        <v>2637</v>
      </c>
    </row>
    <row r="743" spans="1:8" x14ac:dyDescent="0.25">
      <c r="A743" s="1" t="str">
        <f>"936  "</f>
        <v xml:space="preserve">936  </v>
      </c>
      <c r="B743" s="1" t="s">
        <v>2738</v>
      </c>
      <c r="C743" s="1" t="s">
        <v>2739</v>
      </c>
      <c r="D743" s="1" t="s">
        <v>2740</v>
      </c>
      <c r="E743" s="1" t="s">
        <v>2660</v>
      </c>
      <c r="F743" s="1" t="str">
        <f>"297161279"</f>
        <v>297161279</v>
      </c>
      <c r="G743" s="1" t="str">
        <f>"8005916764"</f>
        <v>8005916764</v>
      </c>
      <c r="H743" s="1" t="s">
        <v>2688</v>
      </c>
    </row>
    <row r="744" spans="1:8" x14ac:dyDescent="0.25">
      <c r="A744" s="1" t="str">
        <f>"893  "</f>
        <v xml:space="preserve">893  </v>
      </c>
      <c r="B744" s="1" t="s">
        <v>2750</v>
      </c>
      <c r="C744" s="1" t="s">
        <v>2751</v>
      </c>
      <c r="D744" s="1" t="s">
        <v>2752</v>
      </c>
      <c r="E744" s="1" t="s">
        <v>2697</v>
      </c>
      <c r="F744" s="1" t="str">
        <f>"19101    "</f>
        <v xml:space="preserve">19101    </v>
      </c>
      <c r="G744" s="1" t="str">
        <f>"8002273116"</f>
        <v>8002273116</v>
      </c>
      <c r="H744" s="1" t="s">
        <v>2648</v>
      </c>
    </row>
    <row r="745" spans="1:8" x14ac:dyDescent="0.25">
      <c r="A745" s="1" t="s">
        <v>821</v>
      </c>
      <c r="B745" s="1" t="s">
        <v>822</v>
      </c>
      <c r="C745" s="1" t="s">
        <v>823</v>
      </c>
      <c r="D745" s="1" t="s">
        <v>2752</v>
      </c>
      <c r="E745" s="1" t="s">
        <v>2697</v>
      </c>
      <c r="F745" s="1" t="str">
        <f>"191017799"</f>
        <v>191017799</v>
      </c>
      <c r="G745" s="1" t="str">
        <f>"8002273116"</f>
        <v>8002273116</v>
      </c>
      <c r="H745" s="1" t="s">
        <v>2795</v>
      </c>
    </row>
    <row r="746" spans="1:8" x14ac:dyDescent="0.25">
      <c r="A746" s="1" t="s">
        <v>798</v>
      </c>
      <c r="B746" s="1" t="s">
        <v>799</v>
      </c>
      <c r="C746" s="1" t="s">
        <v>800</v>
      </c>
      <c r="D746" s="1" t="s">
        <v>2442</v>
      </c>
      <c r="E746" s="1" t="s">
        <v>3264</v>
      </c>
      <c r="F746" s="1" t="str">
        <f>"503069126"</f>
        <v>503069126</v>
      </c>
      <c r="G746" s="1" t="str">
        <f>"8002472192"</f>
        <v>8002472192</v>
      </c>
      <c r="H746" s="1" t="s">
        <v>801</v>
      </c>
    </row>
    <row r="747" spans="1:8" x14ac:dyDescent="0.25">
      <c r="A747" s="1" t="str">
        <f>"318  "</f>
        <v xml:space="preserve">318  </v>
      </c>
      <c r="B747" s="1" t="s">
        <v>831</v>
      </c>
      <c r="C747" s="1" t="str">
        <f>"1867 WEST MARKET STREET                           "</f>
        <v xml:space="preserve">1867 WEST MARKET STREET                           </v>
      </c>
      <c r="D747" s="1" t="s">
        <v>2721</v>
      </c>
      <c r="E747" s="1" t="s">
        <v>2714</v>
      </c>
      <c r="F747" s="1" t="str">
        <f>"443136977"</f>
        <v>443136977</v>
      </c>
      <c r="G747" s="1" t="str">
        <f>"3308678443"</f>
        <v>3308678443</v>
      </c>
      <c r="H747" s="1" t="s">
        <v>2637</v>
      </c>
    </row>
    <row r="748" spans="1:8" x14ac:dyDescent="0.25">
      <c r="A748" s="1" t="str">
        <f>"900  "</f>
        <v xml:space="preserve">900  </v>
      </c>
      <c r="B748" s="1" t="s">
        <v>592</v>
      </c>
      <c r="C748" s="1" t="str">
        <f>"444 HIGHLAND DRIVE                                "</f>
        <v xml:space="preserve">444 HIGHLAND DRIVE                                </v>
      </c>
      <c r="D748" s="1" t="s">
        <v>593</v>
      </c>
      <c r="E748" s="1" t="s">
        <v>2667</v>
      </c>
      <c r="F748" s="1" t="str">
        <f>"530441515"</f>
        <v>530441515</v>
      </c>
      <c r="G748" s="1" t="str">
        <f>"9204574441"</f>
        <v>9204574441</v>
      </c>
      <c r="H748" s="1" t="s">
        <v>2637</v>
      </c>
    </row>
    <row r="749" spans="1:8" x14ac:dyDescent="0.25">
      <c r="A749" s="1" t="str">
        <f>"711  "</f>
        <v xml:space="preserve">711  </v>
      </c>
      <c r="B749" s="1" t="s">
        <v>978</v>
      </c>
      <c r="C749" s="1" t="s">
        <v>979</v>
      </c>
      <c r="D749" s="1" t="s">
        <v>980</v>
      </c>
      <c r="E749" s="1" t="s">
        <v>2681</v>
      </c>
      <c r="F749" s="1" t="str">
        <f>"302370607"</f>
        <v>302370607</v>
      </c>
      <c r="G749" s="1" t="str">
        <f>"4044771888"</f>
        <v>4044771888</v>
      </c>
      <c r="H749" s="1" t="s">
        <v>2637</v>
      </c>
    </row>
    <row r="750" spans="1:8" x14ac:dyDescent="0.25">
      <c r="A750" s="1" t="str">
        <f>"320  "</f>
        <v xml:space="preserve">320  </v>
      </c>
      <c r="B750" s="1" t="s">
        <v>3158</v>
      </c>
      <c r="C750" s="1" t="s">
        <v>3159</v>
      </c>
      <c r="D750" s="1" t="s">
        <v>3160</v>
      </c>
      <c r="E750" s="1" t="s">
        <v>3161</v>
      </c>
      <c r="F750" s="1" t="str">
        <f>"39201    "</f>
        <v xml:space="preserve">39201    </v>
      </c>
      <c r="G750" s="1" t="str">
        <f>"6019493100"</f>
        <v>6019493100</v>
      </c>
      <c r="H750" s="1" t="s">
        <v>2637</v>
      </c>
    </row>
    <row r="751" spans="1:8" x14ac:dyDescent="0.25">
      <c r="A751" s="1" t="str">
        <f>"678  "</f>
        <v xml:space="preserve">678  </v>
      </c>
      <c r="B751" s="1" t="s">
        <v>1704</v>
      </c>
      <c r="C751" s="1" t="str">
        <f>"-                                                 "</f>
        <v xml:space="preserve">-                                                 </v>
      </c>
      <c r="D751" s="1" t="str">
        <f>"-                                      "</f>
        <v xml:space="preserve">-                                      </v>
      </c>
      <c r="E751" s="1" t="str">
        <f>"- "</f>
        <v xml:space="preserve">- </v>
      </c>
      <c r="F751" s="1" t="str">
        <f>"-        "</f>
        <v xml:space="preserve">-        </v>
      </c>
      <c r="G751" s="1" t="s">
        <v>2637</v>
      </c>
      <c r="H751" s="1" t="s">
        <v>2637</v>
      </c>
    </row>
    <row r="752" spans="1:8" x14ac:dyDescent="0.25">
      <c r="A752" s="1" t="str">
        <f>"679  "</f>
        <v xml:space="preserve">679  </v>
      </c>
      <c r="B752" s="1" t="s">
        <v>304</v>
      </c>
      <c r="C752" s="1" t="str">
        <f>"-                                                 "</f>
        <v xml:space="preserve">-                                                 </v>
      </c>
      <c r="D752" s="1" t="str">
        <f>"-                                      "</f>
        <v xml:space="preserve">-                                      </v>
      </c>
      <c r="E752" s="1" t="str">
        <f>"- "</f>
        <v xml:space="preserve">- </v>
      </c>
      <c r="F752" s="1" t="str">
        <f>"-        "</f>
        <v xml:space="preserve">-        </v>
      </c>
      <c r="G752" s="1" t="s">
        <v>2637</v>
      </c>
      <c r="H752" s="1" t="s">
        <v>2637</v>
      </c>
    </row>
    <row r="753" spans="1:8" x14ac:dyDescent="0.25">
      <c r="A753" s="1" t="s">
        <v>2364</v>
      </c>
      <c r="B753" s="1" t="s">
        <v>2365</v>
      </c>
      <c r="C753" s="1" t="s">
        <v>2366</v>
      </c>
      <c r="D753" s="1" t="s">
        <v>2367</v>
      </c>
      <c r="E753" s="1" t="s">
        <v>2647</v>
      </c>
      <c r="F753" s="1" t="str">
        <f>"211177098"</f>
        <v>211177098</v>
      </c>
      <c r="G753" s="1" t="str">
        <f>"8008158240"</f>
        <v>8008158240</v>
      </c>
      <c r="H753" s="1" t="s">
        <v>2760</v>
      </c>
    </row>
    <row r="754" spans="1:8" x14ac:dyDescent="0.25">
      <c r="A754" s="1" t="s">
        <v>1149</v>
      </c>
      <c r="B754" s="1" t="s">
        <v>1150</v>
      </c>
      <c r="C754" s="1" t="str">
        <f>"701 EMERSON RD. STE. 301                          "</f>
        <v xml:space="preserve">701 EMERSON RD. STE. 301                          </v>
      </c>
      <c r="D754" s="1" t="s">
        <v>1151</v>
      </c>
      <c r="E754" s="1" t="s">
        <v>2670</v>
      </c>
      <c r="F754" s="1" t="str">
        <f>"63141    "</f>
        <v xml:space="preserve">63141    </v>
      </c>
      <c r="G754" s="1" t="str">
        <f>"8665163121"</f>
        <v>8665163121</v>
      </c>
      <c r="H754" s="1" t="s">
        <v>2637</v>
      </c>
    </row>
    <row r="755" spans="1:8" x14ac:dyDescent="0.25">
      <c r="A755" s="1" t="str">
        <f>"680  "</f>
        <v xml:space="preserve">680  </v>
      </c>
      <c r="B755" s="1" t="s">
        <v>582</v>
      </c>
      <c r="C755" s="1" t="str">
        <f>"-                                                 "</f>
        <v xml:space="preserve">-                                                 </v>
      </c>
      <c r="D755" s="1" t="str">
        <f>"-                                      "</f>
        <v xml:space="preserve">-                                      </v>
      </c>
      <c r="E755" s="1" t="str">
        <f>"- "</f>
        <v xml:space="preserve">- </v>
      </c>
      <c r="F755" s="1" t="str">
        <f>"-        "</f>
        <v xml:space="preserve">-        </v>
      </c>
      <c r="G755" s="1" t="s">
        <v>2637</v>
      </c>
      <c r="H755" s="1" t="s">
        <v>2637</v>
      </c>
    </row>
    <row r="756" spans="1:8" x14ac:dyDescent="0.25">
      <c r="A756" s="1" t="str">
        <f>"978  "</f>
        <v xml:space="preserve">978  </v>
      </c>
      <c r="B756" s="1" t="s">
        <v>1382</v>
      </c>
      <c r="C756" s="1" t="s">
        <v>1383</v>
      </c>
      <c r="D756" s="1" t="s">
        <v>1384</v>
      </c>
      <c r="E756" s="1" t="s">
        <v>2677</v>
      </c>
      <c r="F756" s="1" t="str">
        <f>"27264    "</f>
        <v xml:space="preserve">27264    </v>
      </c>
      <c r="G756" s="1" t="str">
        <f>"8773112150"</f>
        <v>8773112150</v>
      </c>
      <c r="H756" s="1" t="s">
        <v>2637</v>
      </c>
    </row>
    <row r="757" spans="1:8" x14ac:dyDescent="0.25">
      <c r="A757" s="1" t="s">
        <v>1278</v>
      </c>
      <c r="B757" s="1" t="s">
        <v>1279</v>
      </c>
      <c r="C757" s="1" t="s">
        <v>1280</v>
      </c>
      <c r="D757" s="1" t="s">
        <v>2317</v>
      </c>
      <c r="E757" s="1" t="s">
        <v>2832</v>
      </c>
      <c r="F757" s="1" t="str">
        <f>"33265    "</f>
        <v xml:space="preserve">33265    </v>
      </c>
      <c r="G757" s="1" t="str">
        <f>"3055595366"</f>
        <v>3055595366</v>
      </c>
      <c r="H757" s="1" t="s">
        <v>2795</v>
      </c>
    </row>
    <row r="758" spans="1:8" x14ac:dyDescent="0.25">
      <c r="A758" s="1" t="str">
        <f>"681  "</f>
        <v xml:space="preserve">681  </v>
      </c>
      <c r="B758" s="1" t="s">
        <v>2654</v>
      </c>
      <c r="C758" s="1" t="str">
        <f>"-                                                 "</f>
        <v xml:space="preserve">-                                                 </v>
      </c>
      <c r="D758" s="1" t="str">
        <f>"-                                      "</f>
        <v xml:space="preserve">-                                      </v>
      </c>
      <c r="E758" s="1" t="str">
        <f>"- "</f>
        <v xml:space="preserve">- </v>
      </c>
      <c r="F758" s="1" t="str">
        <f>"-        "</f>
        <v xml:space="preserve">-        </v>
      </c>
      <c r="G758" s="1" t="s">
        <v>2637</v>
      </c>
      <c r="H758" s="1" t="s">
        <v>2637</v>
      </c>
    </row>
    <row r="759" spans="1:8" x14ac:dyDescent="0.25">
      <c r="A759" s="1" t="s">
        <v>3047</v>
      </c>
      <c r="B759" s="1" t="s">
        <v>3048</v>
      </c>
      <c r="C759" s="1" t="s">
        <v>3049</v>
      </c>
      <c r="D759" s="1" t="s">
        <v>3050</v>
      </c>
      <c r="E759" s="1" t="s">
        <v>2663</v>
      </c>
      <c r="F759" s="1" t="str">
        <f>"92799    "</f>
        <v xml:space="preserve">92799    </v>
      </c>
      <c r="G759" s="1" t="str">
        <f>"8889020349"</f>
        <v>8889020349</v>
      </c>
      <c r="H759" s="1" t="s">
        <v>2637</v>
      </c>
    </row>
    <row r="760" spans="1:8" x14ac:dyDescent="0.25">
      <c r="A760" s="1" t="str">
        <f>"943  "</f>
        <v xml:space="preserve">943  </v>
      </c>
      <c r="B760" s="1" t="s">
        <v>2119</v>
      </c>
      <c r="C760" s="1" t="str">
        <f>"5 HUTCHINSON DR                                   "</f>
        <v xml:space="preserve">5 HUTCHINSON DR                                   </v>
      </c>
      <c r="D760" s="1" t="s">
        <v>2120</v>
      </c>
      <c r="E760" s="1" t="s">
        <v>3118</v>
      </c>
      <c r="F760" s="1" t="str">
        <f>"01923    "</f>
        <v xml:space="preserve">01923    </v>
      </c>
      <c r="G760" s="1" t="str">
        <f>"8889994767"</f>
        <v>8889994767</v>
      </c>
      <c r="H760" s="1" t="s">
        <v>2735</v>
      </c>
    </row>
    <row r="761" spans="1:8" x14ac:dyDescent="0.25">
      <c r="A761" s="1" t="str">
        <f>"540  "</f>
        <v xml:space="preserve">540  </v>
      </c>
      <c r="B761" s="1" t="s">
        <v>1998</v>
      </c>
      <c r="C761" s="1" t="s">
        <v>1999</v>
      </c>
      <c r="D761" s="1" t="s">
        <v>3085</v>
      </c>
      <c r="E761" s="1" t="s">
        <v>3086</v>
      </c>
      <c r="F761" s="1" t="str">
        <f>"35202    "</f>
        <v xml:space="preserve">35202    </v>
      </c>
      <c r="G761" s="1" t="str">
        <f>"2053252722"</f>
        <v>2053252722</v>
      </c>
      <c r="H761" s="1" t="s">
        <v>2637</v>
      </c>
    </row>
    <row r="762" spans="1:8" x14ac:dyDescent="0.25">
      <c r="A762" s="1" t="str">
        <f>"243  "</f>
        <v xml:space="preserve">243  </v>
      </c>
      <c r="B762" s="1" t="s">
        <v>1363</v>
      </c>
      <c r="C762" s="1" t="s">
        <v>1364</v>
      </c>
      <c r="D762" s="1" t="s">
        <v>3157</v>
      </c>
      <c r="E762" s="1" t="s">
        <v>2970</v>
      </c>
      <c r="F762" s="1" t="str">
        <f>"37250    "</f>
        <v xml:space="preserve">37250    </v>
      </c>
      <c r="G762" s="1" t="str">
        <f>"6157491000"</f>
        <v>6157491000</v>
      </c>
      <c r="H762" s="1" t="s">
        <v>2637</v>
      </c>
    </row>
    <row r="763" spans="1:8" x14ac:dyDescent="0.25">
      <c r="A763" s="1" t="s">
        <v>2345</v>
      </c>
      <c r="B763" s="1" t="s">
        <v>2346</v>
      </c>
      <c r="C763" s="1" t="s">
        <v>2347</v>
      </c>
      <c r="D763" s="1" t="s">
        <v>2348</v>
      </c>
      <c r="E763" s="1" t="s">
        <v>3086</v>
      </c>
      <c r="F763" s="1" t="str">
        <f>"35902    "</f>
        <v xml:space="preserve">35902    </v>
      </c>
      <c r="G763" s="1" t="str">
        <f>"8002262371"</f>
        <v>8002262371</v>
      </c>
      <c r="H763" s="1" t="s">
        <v>2637</v>
      </c>
    </row>
    <row r="764" spans="1:8" x14ac:dyDescent="0.25">
      <c r="A764" s="1" t="str">
        <f>"156  "</f>
        <v xml:space="preserve">156  </v>
      </c>
      <c r="B764" s="1" t="s">
        <v>1674</v>
      </c>
      <c r="C764" s="1" t="s">
        <v>1675</v>
      </c>
      <c r="D764" s="1" t="s">
        <v>2717</v>
      </c>
      <c r="E764" s="1" t="s">
        <v>2681</v>
      </c>
      <c r="F764" s="1" t="str">
        <f>"303485006"</f>
        <v>303485006</v>
      </c>
      <c r="G764" s="1" t="str">
        <f>"7709805100"</f>
        <v>7709805100</v>
      </c>
      <c r="H764" s="1" t="s">
        <v>2637</v>
      </c>
    </row>
    <row r="765" spans="1:8" x14ac:dyDescent="0.25">
      <c r="A765" s="1" t="str">
        <f>"157  "</f>
        <v xml:space="preserve">157  </v>
      </c>
      <c r="B765" s="1" t="s">
        <v>1576</v>
      </c>
      <c r="C765" s="1" t="s">
        <v>1577</v>
      </c>
      <c r="D765" s="1" t="s">
        <v>1540</v>
      </c>
      <c r="E765" s="1" t="s">
        <v>3164</v>
      </c>
      <c r="F765" s="1" t="str">
        <f>"23230    "</f>
        <v xml:space="preserve">23230    </v>
      </c>
      <c r="G765" s="1" t="str">
        <f>"8042816000"</f>
        <v>8042816000</v>
      </c>
      <c r="H765" s="1" t="s">
        <v>2637</v>
      </c>
    </row>
    <row r="766" spans="1:8" x14ac:dyDescent="0.25">
      <c r="A766" s="1" t="str">
        <f>"408  "</f>
        <v xml:space="preserve">408  </v>
      </c>
      <c r="B766" s="1" t="s">
        <v>864</v>
      </c>
      <c r="C766" s="1" t="s">
        <v>865</v>
      </c>
      <c r="D766" s="1" t="s">
        <v>2943</v>
      </c>
      <c r="E766" s="1" t="s">
        <v>2944</v>
      </c>
      <c r="F766" s="1" t="str">
        <f>"72203    "</f>
        <v xml:space="preserve">72203    </v>
      </c>
      <c r="G766" s="1" t="str">
        <f>"5013760426"</f>
        <v>5013760426</v>
      </c>
      <c r="H766" s="1" t="s">
        <v>866</v>
      </c>
    </row>
    <row r="767" spans="1:8" x14ac:dyDescent="0.25">
      <c r="A767" s="1" t="str">
        <f>"515  "</f>
        <v xml:space="preserve">515  </v>
      </c>
      <c r="B767" s="1" t="s">
        <v>512</v>
      </c>
      <c r="C767" s="1" t="s">
        <v>513</v>
      </c>
      <c r="D767" s="1" t="s">
        <v>2834</v>
      </c>
      <c r="E767" s="1" t="s">
        <v>2832</v>
      </c>
      <c r="F767" s="1" t="str">
        <f>"32232    "</f>
        <v xml:space="preserve">32232    </v>
      </c>
      <c r="G767" s="1" t="str">
        <f>"8006616385"</f>
        <v>8006616385</v>
      </c>
      <c r="H767" s="1" t="s">
        <v>514</v>
      </c>
    </row>
    <row r="768" spans="1:8" x14ac:dyDescent="0.25">
      <c r="A768" s="1" t="str">
        <f>"241  "</f>
        <v xml:space="preserve">241  </v>
      </c>
      <c r="B768" s="1" t="s">
        <v>2579</v>
      </c>
      <c r="C768" s="1" t="s">
        <v>2580</v>
      </c>
      <c r="D768" s="1" t="s">
        <v>2985</v>
      </c>
      <c r="E768" s="1" t="s">
        <v>2636</v>
      </c>
      <c r="F768" s="1" t="str">
        <f>"78279    "</f>
        <v xml:space="preserve">78279    </v>
      </c>
      <c r="G768" s="1" t="str">
        <f>"8002291024"</f>
        <v>8002291024</v>
      </c>
      <c r="H768" s="1" t="s">
        <v>2637</v>
      </c>
    </row>
    <row r="769" spans="1:8" x14ac:dyDescent="0.25">
      <c r="A769" s="1" t="s">
        <v>1938</v>
      </c>
      <c r="B769" s="1" t="s">
        <v>1939</v>
      </c>
      <c r="C769" s="1" t="s">
        <v>1940</v>
      </c>
      <c r="D769" s="1" t="s">
        <v>3257</v>
      </c>
      <c r="E769" s="1" t="s">
        <v>2832</v>
      </c>
      <c r="F769" s="1" t="str">
        <f>"32861    "</f>
        <v xml:space="preserve">32861    </v>
      </c>
      <c r="G769" s="1" t="str">
        <f>"8004232765"</f>
        <v>8004232765</v>
      </c>
      <c r="H769" s="1" t="s">
        <v>2637</v>
      </c>
    </row>
    <row r="770" spans="1:8" x14ac:dyDescent="0.25">
      <c r="A770" s="1" t="str">
        <f>"323  "</f>
        <v xml:space="preserve">323  </v>
      </c>
      <c r="B770" s="1" t="s">
        <v>1897</v>
      </c>
      <c r="C770" s="1" t="s">
        <v>1898</v>
      </c>
      <c r="D770" s="1" t="s">
        <v>3074</v>
      </c>
      <c r="E770" s="1" t="s">
        <v>2832</v>
      </c>
      <c r="F770" s="1" t="str">
        <f>"337578843"</f>
        <v>337578843</v>
      </c>
      <c r="G770" s="1" t="str">
        <f>"8885868810"</f>
        <v>8885868810</v>
      </c>
      <c r="H770" s="1" t="s">
        <v>2637</v>
      </c>
    </row>
    <row r="771" spans="1:8" x14ac:dyDescent="0.25">
      <c r="A771" s="1" t="str">
        <f>"158  "</f>
        <v xml:space="preserve">158  </v>
      </c>
      <c r="B771" s="1" t="s">
        <v>1069</v>
      </c>
      <c r="C771" s="1" t="s">
        <v>1070</v>
      </c>
      <c r="D771" s="1" t="s">
        <v>3257</v>
      </c>
      <c r="E771" s="1" t="s">
        <v>2832</v>
      </c>
      <c r="F771" s="1" t="str">
        <f>"32861    "</f>
        <v xml:space="preserve">32861    </v>
      </c>
      <c r="G771" s="1" t="str">
        <f>"8004232765"</f>
        <v>8004232765</v>
      </c>
      <c r="H771" s="1" t="s">
        <v>2637</v>
      </c>
    </row>
    <row r="772" spans="1:8" x14ac:dyDescent="0.25">
      <c r="A772" s="1" t="str">
        <f>"796  "</f>
        <v xml:space="preserve">796  </v>
      </c>
      <c r="B772" s="1" t="s">
        <v>878</v>
      </c>
      <c r="C772" s="1" t="str">
        <f>"2000 SPRINGER DRIVE                               "</f>
        <v xml:space="preserve">2000 SPRINGER DRIVE                               </v>
      </c>
      <c r="D772" s="1" t="s">
        <v>879</v>
      </c>
      <c r="E772" s="1" t="s">
        <v>2786</v>
      </c>
      <c r="F772" s="1" t="str">
        <f>"60148    "</f>
        <v xml:space="preserve">60148    </v>
      </c>
      <c r="G772" s="1" t="str">
        <f>"8003237268"</f>
        <v>8003237268</v>
      </c>
      <c r="H772" s="1" t="s">
        <v>2688</v>
      </c>
    </row>
    <row r="773" spans="1:8" x14ac:dyDescent="0.25">
      <c r="A773" s="1" t="s">
        <v>621</v>
      </c>
      <c r="B773" s="1" t="s">
        <v>622</v>
      </c>
      <c r="C773" s="1" t="s">
        <v>2888</v>
      </c>
      <c r="D773" s="1" t="s">
        <v>2791</v>
      </c>
      <c r="E773" s="1" t="s">
        <v>2744</v>
      </c>
      <c r="F773" s="1" t="str">
        <f>"407428300"</f>
        <v>407428300</v>
      </c>
      <c r="G773" s="1" t="str">
        <f>"8663358319"</f>
        <v>8663358319</v>
      </c>
      <c r="H773" s="1" t="s">
        <v>2760</v>
      </c>
    </row>
    <row r="774" spans="1:8" x14ac:dyDescent="0.25">
      <c r="A774" s="1" t="str">
        <f>"367  "</f>
        <v xml:space="preserve">367  </v>
      </c>
      <c r="B774" s="1" t="s">
        <v>2839</v>
      </c>
      <c r="C774" s="1" t="s">
        <v>2840</v>
      </c>
      <c r="D774" s="1" t="s">
        <v>2841</v>
      </c>
      <c r="E774" s="1" t="s">
        <v>2697</v>
      </c>
      <c r="F774" s="1" t="str">
        <f>"196107011"</f>
        <v>196107011</v>
      </c>
      <c r="G774" s="1" t="str">
        <f>"8007820392"</f>
        <v>8007820392</v>
      </c>
      <c r="H774" s="1" t="s">
        <v>2637</v>
      </c>
    </row>
    <row r="775" spans="1:8" x14ac:dyDescent="0.25">
      <c r="A775" s="1" t="s">
        <v>369</v>
      </c>
      <c r="B775" s="1" t="s">
        <v>370</v>
      </c>
      <c r="C775" s="1" t="s">
        <v>371</v>
      </c>
      <c r="D775" s="1" t="s">
        <v>2805</v>
      </c>
      <c r="E775" s="1" t="s">
        <v>2636</v>
      </c>
      <c r="F775" s="1" t="str">
        <f>"78755    "</f>
        <v xml:space="preserve">78755    </v>
      </c>
      <c r="G775" s="1" t="str">
        <f>"8006336752"</f>
        <v>8006336752</v>
      </c>
      <c r="H775" s="1" t="s">
        <v>2637</v>
      </c>
    </row>
    <row r="776" spans="1:8" x14ac:dyDescent="0.25">
      <c r="A776" s="1" t="str">
        <f>"492  "</f>
        <v xml:space="preserve">492  </v>
      </c>
      <c r="B776" s="1" t="s">
        <v>2593</v>
      </c>
      <c r="C776" s="1" t="str">
        <f>"111100 WAYZATA BLVD                               "</f>
        <v xml:space="preserve">111100 WAYZATA BLVD                               </v>
      </c>
      <c r="D776" s="1" t="s">
        <v>2901</v>
      </c>
      <c r="E776" s="1" t="s">
        <v>2902</v>
      </c>
      <c r="F776" s="1" t="str">
        <f>"55305    "</f>
        <v xml:space="preserve">55305    </v>
      </c>
      <c r="G776" s="1" t="s">
        <v>2637</v>
      </c>
      <c r="H776" s="1" t="s">
        <v>2688</v>
      </c>
    </row>
    <row r="777" spans="1:8" x14ac:dyDescent="0.25">
      <c r="A777" s="1" t="s">
        <v>1262</v>
      </c>
      <c r="B777" s="1" t="s">
        <v>1263</v>
      </c>
      <c r="C777" s="1" t="s">
        <v>1264</v>
      </c>
      <c r="D777" s="1" t="s">
        <v>3289</v>
      </c>
      <c r="E777" s="1" t="s">
        <v>2697</v>
      </c>
      <c r="F777" s="1" t="str">
        <f>"17106    "</f>
        <v xml:space="preserve">17106    </v>
      </c>
      <c r="G777" s="1" t="str">
        <f>"8774957223"</f>
        <v>8774957223</v>
      </c>
      <c r="H777" s="1" t="s">
        <v>2637</v>
      </c>
    </row>
    <row r="778" spans="1:8" x14ac:dyDescent="0.25">
      <c r="A778" s="1" t="str">
        <f>"504  "</f>
        <v xml:space="preserve">504  </v>
      </c>
      <c r="B778" s="1" t="s">
        <v>1819</v>
      </c>
      <c r="C778" s="1" t="s">
        <v>1820</v>
      </c>
      <c r="D778" s="1" t="s">
        <v>1821</v>
      </c>
      <c r="E778" s="1" t="s">
        <v>2644</v>
      </c>
      <c r="F778" s="1" t="str">
        <f>"481130779"</f>
        <v>481130779</v>
      </c>
      <c r="G778" s="1" t="str">
        <f>"2156578920"</f>
        <v>2156578920</v>
      </c>
      <c r="H778" s="1" t="s">
        <v>2735</v>
      </c>
    </row>
    <row r="779" spans="1:8" x14ac:dyDescent="0.25">
      <c r="A779" s="1" t="str">
        <f>"396  "</f>
        <v xml:space="preserve">396  </v>
      </c>
      <c r="B779" s="1" t="s">
        <v>2398</v>
      </c>
      <c r="C779" s="1" t="s">
        <v>2399</v>
      </c>
      <c r="D779" s="1" t="s">
        <v>2061</v>
      </c>
      <c r="E779" s="1" t="s">
        <v>2636</v>
      </c>
      <c r="F779" s="1" t="str">
        <f>"75085    "</f>
        <v xml:space="preserve">75085    </v>
      </c>
      <c r="G779" s="1" t="str">
        <f>"8003372363"</f>
        <v>8003372363</v>
      </c>
      <c r="H779" s="1" t="s">
        <v>2688</v>
      </c>
    </row>
    <row r="780" spans="1:8" x14ac:dyDescent="0.25">
      <c r="A780" s="1" t="s">
        <v>386</v>
      </c>
      <c r="B780" s="1" t="s">
        <v>387</v>
      </c>
      <c r="C780" s="1" t="s">
        <v>388</v>
      </c>
      <c r="D780" s="1" t="s">
        <v>389</v>
      </c>
      <c r="E780" s="1" t="s">
        <v>2670</v>
      </c>
      <c r="F780" s="1" t="str">
        <f>"63043    "</f>
        <v xml:space="preserve">63043    </v>
      </c>
      <c r="G780" s="1" t="str">
        <f>"8003592422"</f>
        <v>8003592422</v>
      </c>
      <c r="H780" s="1" t="s">
        <v>2637</v>
      </c>
    </row>
    <row r="781" spans="1:8" x14ac:dyDescent="0.25">
      <c r="A781" s="1" t="s">
        <v>1175</v>
      </c>
      <c r="B781" s="1" t="s">
        <v>1176</v>
      </c>
      <c r="C781" s="1" t="s">
        <v>1177</v>
      </c>
      <c r="D781" s="1" t="s">
        <v>1178</v>
      </c>
      <c r="E781" s="1" t="s">
        <v>2773</v>
      </c>
      <c r="F781" s="1" t="str">
        <f>"11530    "</f>
        <v xml:space="preserve">11530    </v>
      </c>
      <c r="G781" s="1" t="str">
        <f>"8666246259"</f>
        <v>8666246259</v>
      </c>
      <c r="H781" s="1" t="s">
        <v>2637</v>
      </c>
    </row>
    <row r="782" spans="1:8" x14ac:dyDescent="0.25">
      <c r="A782" s="1" t="str">
        <f>"847  "</f>
        <v xml:space="preserve">847  </v>
      </c>
      <c r="B782" s="1" t="s">
        <v>1092</v>
      </c>
      <c r="C782" s="1" t="s">
        <v>1093</v>
      </c>
      <c r="D782" s="1" t="s">
        <v>2601</v>
      </c>
      <c r="E782" s="1" t="s">
        <v>2832</v>
      </c>
      <c r="F782" s="1" t="str">
        <f>"33338    "</f>
        <v xml:space="preserve">33338    </v>
      </c>
      <c r="G782" s="1" t="str">
        <f>"8002807093"</f>
        <v>8002807093</v>
      </c>
      <c r="H782" s="1" t="s">
        <v>2637</v>
      </c>
    </row>
    <row r="783" spans="1:8" x14ac:dyDescent="0.25">
      <c r="A783" s="1" t="str">
        <f>"327  "</f>
        <v xml:space="preserve">327  </v>
      </c>
      <c r="B783" s="1" t="s">
        <v>683</v>
      </c>
      <c r="C783" s="1" t="s">
        <v>684</v>
      </c>
      <c r="D783" s="1" t="s">
        <v>2791</v>
      </c>
      <c r="E783" s="1" t="s">
        <v>2744</v>
      </c>
      <c r="F783" s="1" t="str">
        <f>"40742    "</f>
        <v xml:space="preserve">40742    </v>
      </c>
      <c r="G783" s="1" t="str">
        <f>"8004107778"</f>
        <v>8004107778</v>
      </c>
      <c r="H783" s="1" t="s">
        <v>2637</v>
      </c>
    </row>
    <row r="784" spans="1:8" x14ac:dyDescent="0.25">
      <c r="A784" s="1" t="str">
        <f>"159  "</f>
        <v xml:space="preserve">159  </v>
      </c>
      <c r="B784" s="1" t="s">
        <v>1032</v>
      </c>
      <c r="C784" s="1" t="s">
        <v>1033</v>
      </c>
      <c r="D784" s="1" t="s">
        <v>1034</v>
      </c>
      <c r="E784" s="1" t="s">
        <v>2821</v>
      </c>
      <c r="F784" s="1" t="str">
        <f>"08110    "</f>
        <v xml:space="preserve">08110    </v>
      </c>
      <c r="G784" s="1" t="str">
        <f>"8002570625"</f>
        <v>8002570625</v>
      </c>
      <c r="H784" s="1" t="s">
        <v>2637</v>
      </c>
    </row>
    <row r="785" spans="1:8" x14ac:dyDescent="0.25">
      <c r="A785" s="1" t="str">
        <f>"438  "</f>
        <v xml:space="preserve">438  </v>
      </c>
      <c r="B785" s="1" t="s">
        <v>3053</v>
      </c>
      <c r="C785" s="1" t="s">
        <v>3054</v>
      </c>
      <c r="D785" s="1" t="s">
        <v>3055</v>
      </c>
      <c r="E785" s="1" t="s">
        <v>2647</v>
      </c>
      <c r="F785" s="1" t="str">
        <f>"21705    "</f>
        <v xml:space="preserve">21705    </v>
      </c>
      <c r="G785" s="1" t="str">
        <f>"8002576458"</f>
        <v>8002576458</v>
      </c>
      <c r="H785" s="1" t="s">
        <v>2637</v>
      </c>
    </row>
    <row r="786" spans="1:8" x14ac:dyDescent="0.25">
      <c r="A786" s="1" t="str">
        <f>"860  "</f>
        <v xml:space="preserve">860  </v>
      </c>
      <c r="B786" s="1" t="s">
        <v>2803</v>
      </c>
      <c r="C786" s="1" t="s">
        <v>2804</v>
      </c>
      <c r="D786" s="1" t="s">
        <v>2805</v>
      </c>
      <c r="E786" s="1" t="s">
        <v>2636</v>
      </c>
      <c r="F786" s="1" t="str">
        <f>"78720    "</f>
        <v xml:space="preserve">78720    </v>
      </c>
      <c r="G786" s="1" t="str">
        <f>"8008352094"</f>
        <v>8008352094</v>
      </c>
      <c r="H786" s="1" t="s">
        <v>2637</v>
      </c>
    </row>
    <row r="787" spans="1:8" x14ac:dyDescent="0.25">
      <c r="A787" s="1" t="str">
        <f>"915  "</f>
        <v xml:space="preserve">915  </v>
      </c>
      <c r="B787" s="1" t="s">
        <v>4</v>
      </c>
      <c r="C787" s="1" t="s">
        <v>5</v>
      </c>
      <c r="D787" s="1" t="s">
        <v>2906</v>
      </c>
      <c r="E787" s="1" t="s">
        <v>2677</v>
      </c>
      <c r="F787" s="1" t="str">
        <f>"28208    "</f>
        <v xml:space="preserve">28208    </v>
      </c>
      <c r="G787" s="1" t="str">
        <f>"7043555200"</f>
        <v>7043555200</v>
      </c>
      <c r="H787" s="1" t="s">
        <v>2637</v>
      </c>
    </row>
    <row r="788" spans="1:8" x14ac:dyDescent="0.25">
      <c r="A788" s="1" t="str">
        <f>"835  "</f>
        <v xml:space="preserve">835  </v>
      </c>
      <c r="B788" s="1" t="s">
        <v>286</v>
      </c>
      <c r="C788" s="1" t="str">
        <f>"1100 NORTH LINDBERGH                              "</f>
        <v xml:space="preserve">1100 NORTH LINDBERGH                              </v>
      </c>
      <c r="D788" s="1" t="s">
        <v>2314</v>
      </c>
      <c r="E788" s="1" t="s">
        <v>2670</v>
      </c>
      <c r="F788" s="1" t="str">
        <f>"63132    "</f>
        <v xml:space="preserve">63132    </v>
      </c>
      <c r="G788" s="1" t="str">
        <f>"8006729540"</f>
        <v>8006729540</v>
      </c>
      <c r="H788" s="1" t="s">
        <v>287</v>
      </c>
    </row>
    <row r="789" spans="1:8" x14ac:dyDescent="0.25">
      <c r="A789" s="1" t="s">
        <v>470</v>
      </c>
      <c r="B789" s="1" t="s">
        <v>471</v>
      </c>
      <c r="C789" s="1" t="s">
        <v>472</v>
      </c>
      <c r="D789" s="1" t="s">
        <v>917</v>
      </c>
      <c r="E789" s="1" t="s">
        <v>2670</v>
      </c>
      <c r="F789" s="1" t="str">
        <f>"631016922"</f>
        <v>631016922</v>
      </c>
      <c r="G789" s="1" t="str">
        <f>"8007596959"</f>
        <v>8007596959</v>
      </c>
      <c r="H789" s="1" t="s">
        <v>2637</v>
      </c>
    </row>
    <row r="790" spans="1:8" x14ac:dyDescent="0.25">
      <c r="A790" s="1" t="str">
        <f>"932  "</f>
        <v xml:space="preserve">932  </v>
      </c>
      <c r="B790" s="1" t="s">
        <v>662</v>
      </c>
      <c r="C790" s="1" t="s">
        <v>663</v>
      </c>
      <c r="D790" s="1" t="s">
        <v>2635</v>
      </c>
      <c r="E790" s="1" t="s">
        <v>2636</v>
      </c>
      <c r="F790" s="1" t="str">
        <f>"772925309"</f>
        <v>772925309</v>
      </c>
      <c r="G790" s="1" t="str">
        <f>"8006699030"</f>
        <v>8006699030</v>
      </c>
      <c r="H790" s="1" t="s">
        <v>451</v>
      </c>
    </row>
    <row r="791" spans="1:8" x14ac:dyDescent="0.25">
      <c r="A791" s="1" t="str">
        <f>"682  "</f>
        <v xml:space="preserve">682  </v>
      </c>
      <c r="B791" s="1" t="s">
        <v>1484</v>
      </c>
      <c r="C791" s="1" t="str">
        <f>"-                                                 "</f>
        <v xml:space="preserve">-                                                 </v>
      </c>
      <c r="D791" s="1" t="str">
        <f>"-                                      "</f>
        <v xml:space="preserve">-                                      </v>
      </c>
      <c r="E791" s="1" t="str">
        <f>"- "</f>
        <v xml:space="preserve">- </v>
      </c>
      <c r="F791" s="1" t="str">
        <f>"-        "</f>
        <v xml:space="preserve">-        </v>
      </c>
      <c r="G791" s="1" t="s">
        <v>2637</v>
      </c>
      <c r="H791" s="1" t="s">
        <v>2637</v>
      </c>
    </row>
    <row r="792" spans="1:8" x14ac:dyDescent="0.25">
      <c r="A792" s="1" t="s">
        <v>1306</v>
      </c>
      <c r="B792" s="1" t="s">
        <v>1307</v>
      </c>
      <c r="C792" s="1" t="s">
        <v>1308</v>
      </c>
      <c r="D792" s="1" t="s">
        <v>2531</v>
      </c>
      <c r="E792" s="1" t="s">
        <v>2636</v>
      </c>
      <c r="F792" s="1" t="str">
        <f>"79490    "</f>
        <v xml:space="preserve">79490    </v>
      </c>
      <c r="G792" s="1" t="str">
        <f>"8002792290"</f>
        <v>8002792290</v>
      </c>
      <c r="H792" s="1" t="s">
        <v>2637</v>
      </c>
    </row>
    <row r="793" spans="1:8" x14ac:dyDescent="0.25">
      <c r="A793" s="1" t="str">
        <f>"683  "</f>
        <v xml:space="preserve">683  </v>
      </c>
      <c r="B793" s="1" t="s">
        <v>1866</v>
      </c>
      <c r="C793" s="1" t="str">
        <f>"-                                                 "</f>
        <v xml:space="preserve">-                                                 </v>
      </c>
      <c r="D793" s="1" t="str">
        <f>"-                                      "</f>
        <v xml:space="preserve">-                                      </v>
      </c>
      <c r="E793" s="1" t="str">
        <f>"- "</f>
        <v xml:space="preserve">- </v>
      </c>
      <c r="F793" s="1" t="str">
        <f>"-        "</f>
        <v xml:space="preserve">-        </v>
      </c>
      <c r="G793" s="1" t="s">
        <v>2637</v>
      </c>
      <c r="H793" s="1" t="s">
        <v>2637</v>
      </c>
    </row>
    <row r="794" spans="1:8" x14ac:dyDescent="0.25">
      <c r="A794" s="1" t="str">
        <f>"268  "</f>
        <v xml:space="preserve">268  </v>
      </c>
      <c r="B794" s="1" t="s">
        <v>103</v>
      </c>
      <c r="C794" s="1" t="s">
        <v>2216</v>
      </c>
      <c r="D794" s="1" t="s">
        <v>3188</v>
      </c>
      <c r="E794" s="1" t="s">
        <v>2832</v>
      </c>
      <c r="F794" s="1" t="str">
        <f>"32591    "</f>
        <v xml:space="preserve">32591    </v>
      </c>
      <c r="G794" s="1" t="str">
        <f>"8009348203"</f>
        <v>8009348203</v>
      </c>
      <c r="H794" s="1" t="s">
        <v>2637</v>
      </c>
    </row>
    <row r="795" spans="1:8" x14ac:dyDescent="0.25">
      <c r="A795" s="1" t="str">
        <f>"709DN"</f>
        <v>709DN</v>
      </c>
      <c r="B795" s="1" t="s">
        <v>180</v>
      </c>
      <c r="C795" s="1" t="str">
        <f>"501 NORTH BROADWAY, SUITE 500                     "</f>
        <v xml:space="preserve">501 NORTH BROADWAY, SUITE 500                     </v>
      </c>
      <c r="D795" s="1" t="s">
        <v>917</v>
      </c>
      <c r="E795" s="1" t="s">
        <v>2670</v>
      </c>
      <c r="F795" s="1" t="str">
        <f>"63102    "</f>
        <v xml:space="preserve">63102    </v>
      </c>
      <c r="G795" s="1" t="str">
        <f>"8008687526"</f>
        <v>8008687526</v>
      </c>
      <c r="H795" s="1" t="s">
        <v>181</v>
      </c>
    </row>
    <row r="796" spans="1:8" x14ac:dyDescent="0.25">
      <c r="A796" s="1" t="str">
        <f>"405  "</f>
        <v xml:space="preserve">405  </v>
      </c>
      <c r="B796" s="1" t="s">
        <v>1498</v>
      </c>
      <c r="C796" s="1" t="s">
        <v>1499</v>
      </c>
      <c r="D796" s="1" t="s">
        <v>2442</v>
      </c>
      <c r="E796" s="1" t="s">
        <v>3264</v>
      </c>
      <c r="F796" s="1" t="str">
        <f>"503060432"</f>
        <v>503060432</v>
      </c>
      <c r="G796" s="1" t="str">
        <f>"8773257265"</f>
        <v>8773257265</v>
      </c>
      <c r="H796" s="1" t="s">
        <v>2688</v>
      </c>
    </row>
    <row r="797" spans="1:8" x14ac:dyDescent="0.25">
      <c r="A797" s="1" t="str">
        <f>"531  "</f>
        <v xml:space="preserve">531  </v>
      </c>
      <c r="B797" s="1" t="s">
        <v>650</v>
      </c>
      <c r="C797" s="1" t="str">
        <f>"1690 SKYLYN DRIVE, SUITE,130                      "</f>
        <v xml:space="preserve">1690 SKYLYN DRIVE, SUITE,130                      </v>
      </c>
      <c r="D797" s="1" t="s">
        <v>2616</v>
      </c>
      <c r="E797" s="1" t="s">
        <v>2660</v>
      </c>
      <c r="F797" s="1" t="str">
        <f>"29307    "</f>
        <v xml:space="preserve">29307    </v>
      </c>
      <c r="G797" s="1" t="str">
        <f>"8645733535"</f>
        <v>8645733535</v>
      </c>
      <c r="H797" s="1" t="s">
        <v>2637</v>
      </c>
    </row>
    <row r="798" spans="1:8" x14ac:dyDescent="0.25">
      <c r="A798" s="1" t="str">
        <f>"569  "</f>
        <v xml:space="preserve">569  </v>
      </c>
      <c r="B798" s="1" t="s">
        <v>968</v>
      </c>
      <c r="C798" s="1" t="s">
        <v>969</v>
      </c>
      <c r="D798" s="1" t="s">
        <v>2808</v>
      </c>
      <c r="E798" s="1" t="s">
        <v>2809</v>
      </c>
      <c r="F798" s="1" t="str">
        <f>"85082    "</f>
        <v xml:space="preserve">85082    </v>
      </c>
      <c r="G798" s="1" t="str">
        <f>"8009538854"</f>
        <v>8009538854</v>
      </c>
      <c r="H798" s="1" t="s">
        <v>2735</v>
      </c>
    </row>
    <row r="799" spans="1:8" x14ac:dyDescent="0.25">
      <c r="A799" s="1" t="str">
        <f>"226  "</f>
        <v xml:space="preserve">226  </v>
      </c>
      <c r="B799" s="1" t="s">
        <v>1349</v>
      </c>
      <c r="C799" s="1" t="s">
        <v>1350</v>
      </c>
      <c r="D799" s="1" t="s">
        <v>3203</v>
      </c>
      <c r="E799" s="1" t="s">
        <v>2681</v>
      </c>
      <c r="F799" s="1" t="str">
        <f>"303919123"</f>
        <v>303919123</v>
      </c>
      <c r="G799" s="1" t="str">
        <f>"7068635955"</f>
        <v>7068635955</v>
      </c>
      <c r="H799" s="1" t="s">
        <v>2637</v>
      </c>
    </row>
    <row r="800" spans="1:8" x14ac:dyDescent="0.25">
      <c r="A800" s="1" t="s">
        <v>2881</v>
      </c>
      <c r="B800" s="1" t="s">
        <v>2882</v>
      </c>
      <c r="C800" s="1" t="s">
        <v>2883</v>
      </c>
      <c r="D800" s="1" t="s">
        <v>2884</v>
      </c>
      <c r="E800" s="1" t="s">
        <v>2885</v>
      </c>
      <c r="F800" s="1" t="str">
        <f>"73154    "</f>
        <v xml:space="preserve">73154    </v>
      </c>
      <c r="G800" s="1" t="str">
        <f>"8002597765"</f>
        <v>8002597765</v>
      </c>
      <c r="H800" s="1" t="s">
        <v>2637</v>
      </c>
    </row>
    <row r="801" spans="1:8" x14ac:dyDescent="0.25">
      <c r="A801" s="1" t="str">
        <f>"586  "</f>
        <v xml:space="preserve">586  </v>
      </c>
      <c r="B801" s="1" t="s">
        <v>598</v>
      </c>
      <c r="C801" s="1" t="s">
        <v>599</v>
      </c>
      <c r="D801" s="1" t="s">
        <v>3230</v>
      </c>
      <c r="E801" s="1" t="s">
        <v>2697</v>
      </c>
      <c r="F801" s="1" t="str">
        <f>"15220    "</f>
        <v xml:space="preserve">15220    </v>
      </c>
      <c r="G801" s="1" t="str">
        <f>"4129220780"</f>
        <v>4129220780</v>
      </c>
      <c r="H801" s="1" t="s">
        <v>600</v>
      </c>
    </row>
    <row r="802" spans="1:8" x14ac:dyDescent="0.25">
      <c r="A802" s="1" t="str">
        <f>"684  "</f>
        <v xml:space="preserve">684  </v>
      </c>
      <c r="B802" s="1" t="s">
        <v>380</v>
      </c>
      <c r="C802" s="1" t="str">
        <f>"-                                                 "</f>
        <v xml:space="preserve">-                                                 </v>
      </c>
      <c r="D802" s="1" t="str">
        <f>"-                                      "</f>
        <v xml:space="preserve">-                                      </v>
      </c>
      <c r="E802" s="1" t="str">
        <f>"- "</f>
        <v xml:space="preserve">- </v>
      </c>
      <c r="F802" s="1" t="str">
        <f>"-        "</f>
        <v xml:space="preserve">-        </v>
      </c>
      <c r="G802" s="1" t="s">
        <v>2637</v>
      </c>
      <c r="H802" s="1" t="s">
        <v>2637</v>
      </c>
    </row>
    <row r="803" spans="1:8" x14ac:dyDescent="0.25">
      <c r="A803" s="1" t="str">
        <f>"361  "</f>
        <v xml:space="preserve">361  </v>
      </c>
      <c r="B803" s="1" t="s">
        <v>1347</v>
      </c>
      <c r="C803" s="1" t="str">
        <f>"822 HIGHWAY A1A NORTH STE 310                     "</f>
        <v xml:space="preserve">822 HIGHWAY A1A NORTH STE 310                     </v>
      </c>
      <c r="D803" s="1" t="s">
        <v>1348</v>
      </c>
      <c r="E803" s="1" t="s">
        <v>2832</v>
      </c>
      <c r="F803" s="1" t="str">
        <f>"32082    "</f>
        <v xml:space="preserve">32082    </v>
      </c>
      <c r="G803" s="1" t="str">
        <f>"8008416288"</f>
        <v>8008416288</v>
      </c>
      <c r="H803" s="1" t="s">
        <v>2688</v>
      </c>
    </row>
    <row r="804" spans="1:8" x14ac:dyDescent="0.25">
      <c r="A804" s="1" t="str">
        <f>"368  "</f>
        <v xml:space="preserve">368  </v>
      </c>
      <c r="B804" s="1" t="s">
        <v>781</v>
      </c>
      <c r="C804" s="1" t="s">
        <v>782</v>
      </c>
      <c r="D804" s="1" t="s">
        <v>3217</v>
      </c>
      <c r="E804" s="1" t="s">
        <v>2706</v>
      </c>
      <c r="F804" s="1" t="str">
        <f>"46601    "</f>
        <v xml:space="preserve">46601    </v>
      </c>
      <c r="G804" s="1" t="str">
        <f>"2192370560"</f>
        <v>2192370560</v>
      </c>
      <c r="H804" s="1" t="s">
        <v>2637</v>
      </c>
    </row>
    <row r="805" spans="1:8" x14ac:dyDescent="0.25">
      <c r="A805" s="1" t="str">
        <f>"206  "</f>
        <v xml:space="preserve">206  </v>
      </c>
      <c r="B805" s="1" t="s">
        <v>2421</v>
      </c>
      <c r="C805" s="1" t="s">
        <v>2422</v>
      </c>
      <c r="D805" s="1" t="s">
        <v>2036</v>
      </c>
      <c r="E805" s="1" t="s">
        <v>2677</v>
      </c>
      <c r="F805" s="1" t="str">
        <f>"271145307"</f>
        <v>271145307</v>
      </c>
      <c r="G805" s="1" t="str">
        <f>"8007951023"</f>
        <v>8007951023</v>
      </c>
      <c r="H805" s="1" t="s">
        <v>2637</v>
      </c>
    </row>
    <row r="806" spans="1:8" x14ac:dyDescent="0.25">
      <c r="A806" s="1" t="str">
        <f>"223  "</f>
        <v xml:space="preserve">223  </v>
      </c>
      <c r="B806" s="1" t="s">
        <v>2552</v>
      </c>
      <c r="C806" s="1" t="s">
        <v>2553</v>
      </c>
      <c r="D806" s="1" t="s">
        <v>2036</v>
      </c>
      <c r="E806" s="1" t="s">
        <v>2677</v>
      </c>
      <c r="F806" s="1" t="str">
        <f>"27114    "</f>
        <v xml:space="preserve">27114    </v>
      </c>
      <c r="G806" s="1" t="str">
        <f>"8008247406"</f>
        <v>8008247406</v>
      </c>
      <c r="H806" s="1" t="s">
        <v>2688</v>
      </c>
    </row>
    <row r="807" spans="1:8" x14ac:dyDescent="0.25">
      <c r="A807" s="1" t="s">
        <v>793</v>
      </c>
      <c r="B807" s="1" t="s">
        <v>794</v>
      </c>
      <c r="C807" s="1" t="s">
        <v>795</v>
      </c>
      <c r="D807" s="1" t="s">
        <v>2820</v>
      </c>
      <c r="E807" s="1" t="s">
        <v>2714</v>
      </c>
      <c r="F807" s="1" t="str">
        <f>"43058    "</f>
        <v xml:space="preserve">43058    </v>
      </c>
      <c r="G807" s="1" t="str">
        <f>"8006868425"</f>
        <v>8006868425</v>
      </c>
      <c r="H807" s="1" t="s">
        <v>2637</v>
      </c>
    </row>
    <row r="808" spans="1:8" x14ac:dyDescent="0.25">
      <c r="A808" s="1" t="str">
        <f>"798  "</f>
        <v xml:space="preserve">798  </v>
      </c>
      <c r="B808" s="1" t="s">
        <v>2408</v>
      </c>
      <c r="C808" s="1" t="str">
        <f>"12480 WEST ATLANTIC BLVD. STE 2                   "</f>
        <v xml:space="preserve">12480 WEST ATLANTIC BLVD. STE 2                   </v>
      </c>
      <c r="D808" s="1" t="s">
        <v>2409</v>
      </c>
      <c r="E808" s="1" t="s">
        <v>2832</v>
      </c>
      <c r="F808" s="1" t="str">
        <f>"33071    "</f>
        <v xml:space="preserve">33071    </v>
      </c>
      <c r="G808" s="1" t="str">
        <f>"954-345-56"</f>
        <v>954-345-56</v>
      </c>
      <c r="H808" s="1" t="s">
        <v>2637</v>
      </c>
    </row>
    <row r="809" spans="1:8" x14ac:dyDescent="0.25">
      <c r="A809" s="1" t="str">
        <f>"873  "</f>
        <v xml:space="preserve">873  </v>
      </c>
      <c r="B809" s="1" t="s">
        <v>853</v>
      </c>
      <c r="C809" s="1" t="s">
        <v>854</v>
      </c>
      <c r="D809" s="1" t="s">
        <v>2939</v>
      </c>
      <c r="E809" s="1" t="s">
        <v>2667</v>
      </c>
      <c r="F809" s="1" t="str">
        <f>"537088190"</f>
        <v>537088190</v>
      </c>
      <c r="G809" s="1" t="str">
        <f>"8002217006"</f>
        <v>8002217006</v>
      </c>
      <c r="H809" s="1" t="s">
        <v>855</v>
      </c>
    </row>
    <row r="810" spans="1:8" x14ac:dyDescent="0.25">
      <c r="A810" s="1" t="s">
        <v>25</v>
      </c>
      <c r="B810" s="1" t="s">
        <v>26</v>
      </c>
      <c r="C810" s="1" t="s">
        <v>27</v>
      </c>
      <c r="D810" s="1" t="s">
        <v>2794</v>
      </c>
      <c r="E810" s="1" t="s">
        <v>2744</v>
      </c>
      <c r="F810" s="1" t="str">
        <f>"40512    "</f>
        <v xml:space="preserve">40512    </v>
      </c>
      <c r="G810" s="1" t="str">
        <f>"8002727243"</f>
        <v>8002727243</v>
      </c>
      <c r="H810" s="1" t="s">
        <v>28</v>
      </c>
    </row>
    <row r="811" spans="1:8" x14ac:dyDescent="0.25">
      <c r="A811" s="1" t="str">
        <f>"152  "</f>
        <v xml:space="preserve">152  </v>
      </c>
      <c r="B811" s="1" t="s">
        <v>2567</v>
      </c>
      <c r="C811" s="1" t="s">
        <v>2568</v>
      </c>
      <c r="D811" s="1" t="s">
        <v>2673</v>
      </c>
      <c r="E811" s="1" t="s">
        <v>2674</v>
      </c>
      <c r="F811" s="1" t="str">
        <f>"84130    "</f>
        <v xml:space="preserve">84130    </v>
      </c>
      <c r="G811" s="1" t="str">
        <f>"8004585512"</f>
        <v>8004585512</v>
      </c>
      <c r="H811" s="1" t="s">
        <v>1676</v>
      </c>
    </row>
    <row r="812" spans="1:8" x14ac:dyDescent="0.25">
      <c r="A812" s="1" t="str">
        <f>"222  "</f>
        <v xml:space="preserve">222  </v>
      </c>
      <c r="B812" s="1" t="s">
        <v>2567</v>
      </c>
      <c r="C812" s="1" t="s">
        <v>2568</v>
      </c>
      <c r="D812" s="1" t="s">
        <v>2673</v>
      </c>
      <c r="E812" s="1" t="s">
        <v>2674</v>
      </c>
      <c r="F812" s="1" t="str">
        <f>"84107    "</f>
        <v xml:space="preserve">84107    </v>
      </c>
      <c r="G812" s="1" t="str">
        <f>"8009523455"</f>
        <v>8009523455</v>
      </c>
      <c r="H812" s="1" t="s">
        <v>2637</v>
      </c>
    </row>
    <row r="813" spans="1:8" x14ac:dyDescent="0.25">
      <c r="A813" s="1" t="str">
        <f>"619  "</f>
        <v xml:space="preserve">619  </v>
      </c>
      <c r="B813" s="1" t="s">
        <v>1314</v>
      </c>
      <c r="C813" s="1" t="s">
        <v>2637</v>
      </c>
      <c r="D813" s="1" t="s">
        <v>2637</v>
      </c>
      <c r="E813" s="1" t="s">
        <v>2637</v>
      </c>
      <c r="F813" s="1" t="s">
        <v>2637</v>
      </c>
      <c r="G813" s="1" t="s">
        <v>2637</v>
      </c>
      <c r="H813" s="1" t="s">
        <v>2637</v>
      </c>
    </row>
    <row r="814" spans="1:8" x14ac:dyDescent="0.25">
      <c r="A814" s="1" t="str">
        <f>"616  "</f>
        <v xml:space="preserve">616  </v>
      </c>
      <c r="B814" s="1" t="s">
        <v>2827</v>
      </c>
      <c r="C814" s="1" t="s">
        <v>2637</v>
      </c>
      <c r="D814" s="1" t="s">
        <v>2637</v>
      </c>
      <c r="E814" s="1" t="s">
        <v>2637</v>
      </c>
      <c r="F814" s="1" t="s">
        <v>2637</v>
      </c>
      <c r="G814" s="1" t="s">
        <v>2637</v>
      </c>
      <c r="H814" s="1" t="s">
        <v>2637</v>
      </c>
    </row>
    <row r="815" spans="1:8" x14ac:dyDescent="0.25">
      <c r="A815" s="1" t="s">
        <v>3231</v>
      </c>
      <c r="B815" s="1" t="s">
        <v>3232</v>
      </c>
      <c r="C815" s="1" t="s">
        <v>3233</v>
      </c>
      <c r="D815" s="1" t="s">
        <v>3234</v>
      </c>
      <c r="E815" s="1" t="s">
        <v>3118</v>
      </c>
      <c r="F815" s="1" t="str">
        <f>"60631    "</f>
        <v xml:space="preserve">60631    </v>
      </c>
      <c r="G815" s="1" t="str">
        <f>"8885323467"</f>
        <v>8885323467</v>
      </c>
      <c r="H815" s="1" t="s">
        <v>2637</v>
      </c>
    </row>
    <row r="816" spans="1:8" x14ac:dyDescent="0.25">
      <c r="A816" s="1" t="str">
        <f>"295  "</f>
        <v xml:space="preserve">295  </v>
      </c>
      <c r="B816" s="1" t="s">
        <v>2938</v>
      </c>
      <c r="C816" s="1" t="str">
        <f>"5940 SEMINOLE CENTER COURT                        "</f>
        <v xml:space="preserve">5940 SEMINOLE CENTER COURT                        </v>
      </c>
      <c r="D816" s="1" t="s">
        <v>2939</v>
      </c>
      <c r="E816" s="1" t="s">
        <v>2667</v>
      </c>
      <c r="F816" s="1" t="str">
        <f>"53711    "</f>
        <v xml:space="preserve">53711    </v>
      </c>
      <c r="G816" s="1" t="str">
        <f>"6082731776"</f>
        <v>6082731776</v>
      </c>
      <c r="H816" s="1" t="s">
        <v>2637</v>
      </c>
    </row>
    <row r="817" spans="1:8" x14ac:dyDescent="0.25">
      <c r="A817" s="1" t="str">
        <f>"781  "</f>
        <v xml:space="preserve">781  </v>
      </c>
      <c r="B817" s="1" t="s">
        <v>2156</v>
      </c>
      <c r="C817" s="1" t="s">
        <v>2157</v>
      </c>
      <c r="D817" s="1" t="s">
        <v>2906</v>
      </c>
      <c r="E817" s="1" t="s">
        <v>2677</v>
      </c>
      <c r="F817" s="1" t="str">
        <f>"282202995"</f>
        <v>282202995</v>
      </c>
      <c r="G817" s="1" t="str">
        <f>"8003340609"</f>
        <v>8003340609</v>
      </c>
      <c r="H817" s="1" t="s">
        <v>2637</v>
      </c>
    </row>
    <row r="818" spans="1:8" x14ac:dyDescent="0.25">
      <c r="A818" s="1" t="str">
        <f>"781DN"</f>
        <v>781DN</v>
      </c>
      <c r="B818" s="1" t="s">
        <v>2156</v>
      </c>
      <c r="C818" s="1" t="s">
        <v>2157</v>
      </c>
      <c r="D818" s="1" t="s">
        <v>2906</v>
      </c>
      <c r="E818" s="1" t="s">
        <v>2677</v>
      </c>
      <c r="F818" s="1" t="str">
        <f>"282202995"</f>
        <v>282202995</v>
      </c>
      <c r="G818" s="1" t="str">
        <f>"8003340609"</f>
        <v>8003340609</v>
      </c>
      <c r="H818" s="1" t="s">
        <v>2637</v>
      </c>
    </row>
    <row r="819" spans="1:8" x14ac:dyDescent="0.25">
      <c r="A819" s="1" t="s">
        <v>1124</v>
      </c>
      <c r="B819" s="1" t="s">
        <v>1125</v>
      </c>
      <c r="C819" s="1" t="str">
        <f>"1 WALL ST. STE 2A                                 "</f>
        <v xml:space="preserve">1 WALL ST. STE 2A                                 </v>
      </c>
      <c r="D819" s="1" t="s">
        <v>1126</v>
      </c>
      <c r="E819" s="1" t="s">
        <v>3014</v>
      </c>
      <c r="F819" s="1" t="str">
        <f>"26164    "</f>
        <v xml:space="preserve">26164    </v>
      </c>
      <c r="G819" s="1" t="str">
        <f>"8882250522"</f>
        <v>8882250522</v>
      </c>
      <c r="H819" s="1" t="s">
        <v>2637</v>
      </c>
    </row>
    <row r="820" spans="1:8" x14ac:dyDescent="0.25">
      <c r="A820" s="1" t="s">
        <v>2030</v>
      </c>
      <c r="B820" s="1" t="s">
        <v>2031</v>
      </c>
      <c r="C820" s="1" t="str">
        <f>"19450 DEERFIELD AVE. STE. 400                     "</f>
        <v xml:space="preserve">19450 DEERFIELD AVE. STE. 400                     </v>
      </c>
      <c r="D820" s="1" t="s">
        <v>2032</v>
      </c>
      <c r="E820" s="1" t="s">
        <v>3164</v>
      </c>
      <c r="F820" s="1" t="str">
        <f>"20176    "</f>
        <v xml:space="preserve">20176    </v>
      </c>
      <c r="G820" s="1" t="str">
        <f>"8008416188"</f>
        <v>8008416188</v>
      </c>
      <c r="H820" s="1" t="s">
        <v>2760</v>
      </c>
    </row>
    <row r="821" spans="1:8" x14ac:dyDescent="0.25">
      <c r="A821" s="1" t="str">
        <f>"822  "</f>
        <v xml:space="preserve">822  </v>
      </c>
      <c r="B821" s="1" t="s">
        <v>2113</v>
      </c>
      <c r="C821" s="1" t="s">
        <v>2114</v>
      </c>
      <c r="D821" s="1" t="s">
        <v>2713</v>
      </c>
      <c r="E821" s="1" t="s">
        <v>2714</v>
      </c>
      <c r="F821" s="1" t="str">
        <f>"44101    "</f>
        <v xml:space="preserve">44101    </v>
      </c>
      <c r="G821" s="1" t="str">
        <f>"8002582873"</f>
        <v>8002582873</v>
      </c>
      <c r="H821" s="1" t="s">
        <v>2688</v>
      </c>
    </row>
    <row r="822" spans="1:8" x14ac:dyDescent="0.25">
      <c r="A822" s="1" t="str">
        <f>"539  "</f>
        <v xml:space="preserve">539  </v>
      </c>
      <c r="B822" s="1" t="s">
        <v>2711</v>
      </c>
      <c r="C822" s="1" t="s">
        <v>2712</v>
      </c>
      <c r="D822" s="1" t="s">
        <v>2713</v>
      </c>
      <c r="E822" s="1" t="s">
        <v>2714</v>
      </c>
      <c r="F822" s="1" t="str">
        <f>"44101    "</f>
        <v xml:space="preserve">44101    </v>
      </c>
      <c r="G822" s="1" t="str">
        <f>"8003621279"</f>
        <v>8003621279</v>
      </c>
      <c r="H822" s="1" t="s">
        <v>2648</v>
      </c>
    </row>
    <row r="823" spans="1:8" x14ac:dyDescent="0.25">
      <c r="A823" s="1" t="s">
        <v>1928</v>
      </c>
      <c r="B823" s="1" t="s">
        <v>1929</v>
      </c>
      <c r="C823" s="1" t="str">
        <f>"2060 EAST 9TH STREET                              "</f>
        <v xml:space="preserve">2060 EAST 9TH STREET                              </v>
      </c>
      <c r="D823" s="1" t="s">
        <v>2713</v>
      </c>
      <c r="E823" s="1" t="s">
        <v>2714</v>
      </c>
      <c r="F823" s="1" t="str">
        <f>"441151355"</f>
        <v>441151355</v>
      </c>
      <c r="G823" s="1" t="str">
        <f>"2166877000"</f>
        <v>2166877000</v>
      </c>
      <c r="H823" s="1" t="s">
        <v>2637</v>
      </c>
    </row>
    <row r="824" spans="1:8" x14ac:dyDescent="0.25">
      <c r="A824" s="1" t="str">
        <f>"979  "</f>
        <v xml:space="preserve">979  </v>
      </c>
      <c r="B824" s="1" t="s">
        <v>37</v>
      </c>
      <c r="C824" s="1" t="str">
        <f>"113 SEABOARD LANE                                 "</f>
        <v xml:space="preserve">113 SEABOARD LANE                                 </v>
      </c>
      <c r="D824" s="1" t="s">
        <v>299</v>
      </c>
      <c r="E824" s="1" t="s">
        <v>2970</v>
      </c>
      <c r="F824" s="1" t="str">
        <f>"37067    "</f>
        <v xml:space="preserve">37067    </v>
      </c>
      <c r="G824" s="1" t="str">
        <f>"6159633826"</f>
        <v>6159633826</v>
      </c>
      <c r="H824" s="1" t="s">
        <v>38</v>
      </c>
    </row>
    <row r="825" spans="1:8" x14ac:dyDescent="0.25">
      <c r="A825" s="1" t="str">
        <f>"207  "</f>
        <v xml:space="preserve">207  </v>
      </c>
      <c r="B825" s="1" t="s">
        <v>1304</v>
      </c>
      <c r="C825" s="1" t="str">
        <f>"419 E. MAIN ST                                    "</f>
        <v xml:space="preserve">419 E. MAIN ST                                    </v>
      </c>
      <c r="D825" s="1" t="s">
        <v>1305</v>
      </c>
      <c r="E825" s="1" t="s">
        <v>2773</v>
      </c>
      <c r="F825" s="1" t="str">
        <f>"10940    "</f>
        <v xml:space="preserve">10940    </v>
      </c>
      <c r="G825" s="1" t="str">
        <f>"3173298222"</f>
        <v>3173298222</v>
      </c>
      <c r="H825" s="1" t="s">
        <v>2637</v>
      </c>
    </row>
    <row r="826" spans="1:8" x14ac:dyDescent="0.25">
      <c r="A826" s="1" t="s">
        <v>1822</v>
      </c>
      <c r="B826" s="1" t="s">
        <v>1823</v>
      </c>
      <c r="C826" s="1" t="str">
        <f>"5835 WEST 74TH ST                                 "</f>
        <v xml:space="preserve">5835 WEST 74TH ST                                 </v>
      </c>
      <c r="D826" s="1" t="s">
        <v>2705</v>
      </c>
      <c r="E826" s="1" t="s">
        <v>2706</v>
      </c>
      <c r="F826" s="1" t="str">
        <f>"462781758"</f>
        <v>462781758</v>
      </c>
      <c r="G826" s="1" t="str">
        <f>"3173298222"</f>
        <v>3173298222</v>
      </c>
      <c r="H826" s="1" t="s">
        <v>2760</v>
      </c>
    </row>
    <row r="827" spans="1:8" x14ac:dyDescent="0.25">
      <c r="A827" s="1" t="s">
        <v>1063</v>
      </c>
      <c r="B827" s="1" t="s">
        <v>1064</v>
      </c>
      <c r="C827" s="1" t="s">
        <v>1065</v>
      </c>
      <c r="D827" s="1" t="s">
        <v>1066</v>
      </c>
      <c r="E827" s="1" t="s">
        <v>2858</v>
      </c>
      <c r="F827" s="1" t="str">
        <f>"99220    "</f>
        <v xml:space="preserve">99220    </v>
      </c>
      <c r="G827" s="1" t="str">
        <f>"5095364900"</f>
        <v>5095364900</v>
      </c>
      <c r="H827" s="1" t="s">
        <v>2637</v>
      </c>
    </row>
    <row r="828" spans="1:8" x14ac:dyDescent="0.25">
      <c r="A828" s="1" t="s">
        <v>749</v>
      </c>
      <c r="B828" s="1" t="s">
        <v>750</v>
      </c>
      <c r="C828" s="1" t="s">
        <v>2637</v>
      </c>
      <c r="D828" s="1" t="s">
        <v>2637</v>
      </c>
      <c r="E828" s="1" t="s">
        <v>2637</v>
      </c>
      <c r="F828" s="1" t="s">
        <v>2637</v>
      </c>
      <c r="G828" s="1" t="s">
        <v>2637</v>
      </c>
      <c r="H828" s="1" t="s">
        <v>751</v>
      </c>
    </row>
    <row r="829" spans="1:8" x14ac:dyDescent="0.25">
      <c r="A829" s="1" t="s">
        <v>2383</v>
      </c>
      <c r="B829" s="1" t="s">
        <v>2384</v>
      </c>
      <c r="C829" s="1" t="s">
        <v>2385</v>
      </c>
      <c r="D829" s="1" t="s">
        <v>2985</v>
      </c>
      <c r="E829" s="1" t="s">
        <v>2636</v>
      </c>
      <c r="F829" s="1" t="str">
        <f>"782659735"</f>
        <v>782659735</v>
      </c>
      <c r="G829" s="1" t="str">
        <f>"8778423210"</f>
        <v>8778423210</v>
      </c>
      <c r="H829" s="1" t="s">
        <v>2795</v>
      </c>
    </row>
    <row r="830" spans="1:8" x14ac:dyDescent="0.25">
      <c r="A830" s="1" t="str">
        <f>"618  "</f>
        <v xml:space="preserve">618  </v>
      </c>
      <c r="B830" s="1" t="s">
        <v>1670</v>
      </c>
      <c r="C830" s="1" t="s">
        <v>2637</v>
      </c>
      <c r="D830" s="1" t="s">
        <v>2637</v>
      </c>
      <c r="E830" s="1" t="s">
        <v>2637</v>
      </c>
      <c r="F830" s="1" t="s">
        <v>2637</v>
      </c>
      <c r="G830" s="1" t="s">
        <v>2637</v>
      </c>
      <c r="H830" s="1" t="s">
        <v>2637</v>
      </c>
    </row>
    <row r="831" spans="1:8" x14ac:dyDescent="0.25">
      <c r="A831" s="1" t="str">
        <f>"620  "</f>
        <v xml:space="preserve">620  </v>
      </c>
      <c r="B831" s="1" t="s">
        <v>783</v>
      </c>
      <c r="C831" s="1" t="s">
        <v>2637</v>
      </c>
      <c r="D831" s="1" t="s">
        <v>2637</v>
      </c>
      <c r="E831" s="1" t="s">
        <v>2637</v>
      </c>
      <c r="F831" s="1" t="s">
        <v>2637</v>
      </c>
      <c r="G831" s="1" t="s">
        <v>2637</v>
      </c>
      <c r="H831" s="1" t="s">
        <v>2637</v>
      </c>
    </row>
    <row r="832" spans="1:8" x14ac:dyDescent="0.25">
      <c r="A832" s="1" t="s">
        <v>1957</v>
      </c>
      <c r="B832" s="1" t="s">
        <v>1958</v>
      </c>
      <c r="C832" s="1" t="str">
        <f>"27000 ELEVEN MILE RD                              "</f>
        <v xml:space="preserve">27000 ELEVEN MILE RD                              </v>
      </c>
      <c r="D832" s="1" t="s">
        <v>1959</v>
      </c>
      <c r="E832" s="1" t="s">
        <v>2644</v>
      </c>
      <c r="F832" s="1" t="str">
        <f>"48034    "</f>
        <v xml:space="preserve">48034    </v>
      </c>
      <c r="G832" s="1" t="str">
        <f>"8002495103"</f>
        <v>8002495103</v>
      </c>
      <c r="H832" s="1" t="s">
        <v>2795</v>
      </c>
    </row>
    <row r="833" spans="1:8" x14ac:dyDescent="0.25">
      <c r="A833" s="1" t="str">
        <f>"617  "</f>
        <v xml:space="preserve">617  </v>
      </c>
      <c r="B833" s="1" t="s">
        <v>971</v>
      </c>
      <c r="C833" s="1" t="s">
        <v>972</v>
      </c>
      <c r="D833" s="1" t="s">
        <v>3203</v>
      </c>
      <c r="E833" s="1" t="s">
        <v>2681</v>
      </c>
      <c r="F833" s="1" t="str">
        <f>"30999    "</f>
        <v xml:space="preserve">30999    </v>
      </c>
      <c r="G833" s="1" t="str">
        <f>"8772887600"</f>
        <v>8772887600</v>
      </c>
      <c r="H833" s="1" t="s">
        <v>2637</v>
      </c>
    </row>
    <row r="834" spans="1:8" x14ac:dyDescent="0.25">
      <c r="A834" s="1" t="str">
        <f>"995  "</f>
        <v xml:space="preserve">995  </v>
      </c>
      <c r="B834" s="1" t="s">
        <v>1855</v>
      </c>
      <c r="C834" s="1" t="str">
        <f>"10680 TREENA ST,STOP 5                            "</f>
        <v xml:space="preserve">10680 TREENA ST,STOP 5                            </v>
      </c>
      <c r="D834" s="1" t="s">
        <v>1856</v>
      </c>
      <c r="E834" s="1" t="s">
        <v>2663</v>
      </c>
      <c r="F834" s="1" t="str">
        <f>"92131    "</f>
        <v xml:space="preserve">92131    </v>
      </c>
      <c r="G834" s="1" t="str">
        <f>"8007882949"</f>
        <v>8007882949</v>
      </c>
      <c r="H834" s="1" t="s">
        <v>2637</v>
      </c>
    </row>
    <row r="835" spans="1:8" x14ac:dyDescent="0.25">
      <c r="A835" s="1" t="str">
        <f>"372  "</f>
        <v xml:space="preserve">372  </v>
      </c>
      <c r="B835" s="1" t="s">
        <v>17</v>
      </c>
      <c r="C835" s="1" t="str">
        <f>"502 VALLEY ROAD                                   "</f>
        <v xml:space="preserve">502 VALLEY ROAD                                   </v>
      </c>
      <c r="D835" s="1" t="s">
        <v>2389</v>
      </c>
      <c r="E835" s="1" t="s">
        <v>2821</v>
      </c>
      <c r="F835" s="1" t="str">
        <f>"07410    "</f>
        <v xml:space="preserve">07410    </v>
      </c>
      <c r="G835" s="1" t="str">
        <f>"9736963111"</f>
        <v>9736963111</v>
      </c>
      <c r="H835" s="1" t="s">
        <v>2637</v>
      </c>
    </row>
    <row r="836" spans="1:8" x14ac:dyDescent="0.25">
      <c r="A836" s="1" t="str">
        <f>"759  "</f>
        <v xml:space="preserve">759  </v>
      </c>
      <c r="B836" s="1" t="s">
        <v>922</v>
      </c>
      <c r="C836" s="1" t="s">
        <v>800</v>
      </c>
      <c r="D836" s="1" t="s">
        <v>2442</v>
      </c>
      <c r="E836" s="1" t="s">
        <v>3264</v>
      </c>
      <c r="F836" s="1" t="str">
        <f>"50309    "</f>
        <v xml:space="preserve">50309    </v>
      </c>
      <c r="G836" s="1" t="str">
        <f>"8002472192"</f>
        <v>8002472192</v>
      </c>
      <c r="H836" s="1" t="s">
        <v>923</v>
      </c>
    </row>
    <row r="837" spans="1:8" x14ac:dyDescent="0.25">
      <c r="A837" s="1" t="s">
        <v>2427</v>
      </c>
      <c r="B837" s="1" t="s">
        <v>2428</v>
      </c>
      <c r="C837" s="1" t="str">
        <f>"3035 LAKELAND HILLS BLVD                          "</f>
        <v xml:space="preserve">3035 LAKELAND HILLS BLVD                          </v>
      </c>
      <c r="D837" s="1" t="s">
        <v>2429</v>
      </c>
      <c r="E837" s="1" t="s">
        <v>2832</v>
      </c>
      <c r="F837" s="1" t="str">
        <f>"33805    "</f>
        <v xml:space="preserve">33805    </v>
      </c>
      <c r="G837" s="1" t="str">
        <f>"8002263155"</f>
        <v>8002263155</v>
      </c>
      <c r="H837" s="1" t="s">
        <v>2637</v>
      </c>
    </row>
    <row r="838" spans="1:8" x14ac:dyDescent="0.25">
      <c r="A838" s="1" t="str">
        <f>"746  "</f>
        <v xml:space="preserve">746  </v>
      </c>
      <c r="B838" s="1" t="s">
        <v>399</v>
      </c>
      <c r="C838" s="1" t="s">
        <v>400</v>
      </c>
      <c r="D838" s="1" t="s">
        <v>401</v>
      </c>
      <c r="E838" s="1" t="s">
        <v>3118</v>
      </c>
      <c r="F838" s="1" t="str">
        <f>"02160    "</f>
        <v xml:space="preserve">02160    </v>
      </c>
      <c r="G838" s="1" t="str">
        <f>"8003479355"</f>
        <v>8003479355</v>
      </c>
      <c r="H838" s="1" t="s">
        <v>2637</v>
      </c>
    </row>
    <row r="839" spans="1:8" x14ac:dyDescent="0.25">
      <c r="A839" s="1" t="s">
        <v>2918</v>
      </c>
      <c r="B839" s="1" t="s">
        <v>2919</v>
      </c>
      <c r="C839" s="1" t="str">
        <f>"6310 LAMAR AVE . STE 230                          "</f>
        <v xml:space="preserve">6310 LAMAR AVE . STE 230                          </v>
      </c>
      <c r="D839" s="1" t="s">
        <v>2748</v>
      </c>
      <c r="E839" s="1" t="s">
        <v>2749</v>
      </c>
      <c r="F839" s="1" t="str">
        <f>"66202    "</f>
        <v xml:space="preserve">66202    </v>
      </c>
      <c r="G839" s="1" t="str">
        <f>"8007714648"</f>
        <v>8007714648</v>
      </c>
      <c r="H839" s="1" t="s">
        <v>2637</v>
      </c>
    </row>
    <row r="840" spans="1:8" x14ac:dyDescent="0.25">
      <c r="A840" s="1" t="str">
        <f>"477  "</f>
        <v xml:space="preserve">477  </v>
      </c>
      <c r="B840" s="1" t="s">
        <v>2273</v>
      </c>
      <c r="C840" s="1" t="s">
        <v>2274</v>
      </c>
      <c r="D840" s="1" t="s">
        <v>2275</v>
      </c>
      <c r="E840" s="1" t="s">
        <v>2636</v>
      </c>
      <c r="F840" s="1" t="str">
        <f>"761828009"</f>
        <v>761828009</v>
      </c>
      <c r="G840" s="1" t="str">
        <f>"8005272845"</f>
        <v>8005272845</v>
      </c>
      <c r="H840" s="1" t="s">
        <v>2637</v>
      </c>
    </row>
    <row r="841" spans="1:8" x14ac:dyDescent="0.25">
      <c r="A841" s="1" t="s">
        <v>347</v>
      </c>
      <c r="B841" s="1" t="s">
        <v>348</v>
      </c>
      <c r="C841" s="1" t="s">
        <v>349</v>
      </c>
      <c r="D841" s="1" t="s">
        <v>2713</v>
      </c>
      <c r="E841" s="1" t="s">
        <v>2714</v>
      </c>
      <c r="F841" s="1" t="str">
        <f>"44139    "</f>
        <v xml:space="preserve">44139    </v>
      </c>
      <c r="G841" s="1" t="str">
        <f>"8888685854"</f>
        <v>8888685854</v>
      </c>
      <c r="H841" s="1" t="s">
        <v>2637</v>
      </c>
    </row>
    <row r="842" spans="1:8" x14ac:dyDescent="0.25">
      <c r="A842" s="1" t="str">
        <f>"709  "</f>
        <v xml:space="preserve">709  </v>
      </c>
      <c r="B842" s="1" t="s">
        <v>3297</v>
      </c>
      <c r="C842" s="1" t="s">
        <v>3298</v>
      </c>
      <c r="D842" s="1" t="s">
        <v>3299</v>
      </c>
      <c r="E842" s="1" t="s">
        <v>3264</v>
      </c>
      <c r="F842" s="1" t="str">
        <f>"52244    "</f>
        <v xml:space="preserve">52244    </v>
      </c>
      <c r="G842" s="1" t="str">
        <f>"8008687526"</f>
        <v>8008687526</v>
      </c>
      <c r="H842" s="1" t="s">
        <v>2637</v>
      </c>
    </row>
    <row r="843" spans="1:8" x14ac:dyDescent="0.25">
      <c r="A843" s="1" t="str">
        <f>"833  "</f>
        <v xml:space="preserve">833  </v>
      </c>
      <c r="B843" s="1" t="s">
        <v>2395</v>
      </c>
      <c r="C843" s="1" t="s">
        <v>2396</v>
      </c>
      <c r="D843" s="1" t="s">
        <v>2397</v>
      </c>
      <c r="E843" s="1" t="s">
        <v>2670</v>
      </c>
      <c r="F843" s="1" t="str">
        <f>"658084568"</f>
        <v>658084568</v>
      </c>
      <c r="G843" s="1" t="str">
        <f>"8006472240"</f>
        <v>8006472240</v>
      </c>
      <c r="H843" s="1" t="s">
        <v>2637</v>
      </c>
    </row>
    <row r="844" spans="1:8" x14ac:dyDescent="0.25">
      <c r="A844" s="1" t="str">
        <f>"377  "</f>
        <v xml:space="preserve">377  </v>
      </c>
      <c r="B844" s="1" t="s">
        <v>737</v>
      </c>
      <c r="C844" s="1" t="s">
        <v>738</v>
      </c>
      <c r="D844" s="1" t="s">
        <v>2061</v>
      </c>
      <c r="E844" s="1" t="s">
        <v>2636</v>
      </c>
      <c r="F844" s="1" t="str">
        <f>"75085    "</f>
        <v xml:space="preserve">75085    </v>
      </c>
      <c r="G844" s="1" t="str">
        <f>"7163195399"</f>
        <v>7163195399</v>
      </c>
      <c r="H844" s="1" t="s">
        <v>739</v>
      </c>
    </row>
    <row r="845" spans="1:8" x14ac:dyDescent="0.25">
      <c r="A845" s="1" t="s">
        <v>687</v>
      </c>
      <c r="B845" s="1" t="s">
        <v>688</v>
      </c>
      <c r="C845" s="1" t="s">
        <v>689</v>
      </c>
      <c r="D845" s="1" t="s">
        <v>2705</v>
      </c>
      <c r="E845" s="1" t="s">
        <v>2706</v>
      </c>
      <c r="F845" s="1" t="str">
        <f>"46280    "</f>
        <v xml:space="preserve">46280    </v>
      </c>
      <c r="G845" s="1" t="str">
        <f>"8006064841"</f>
        <v>8006064841</v>
      </c>
      <c r="H845" s="1" t="s">
        <v>2637</v>
      </c>
    </row>
    <row r="846" spans="1:8" x14ac:dyDescent="0.25">
      <c r="A846" s="1" t="str">
        <f>"108  "</f>
        <v xml:space="preserve">108  </v>
      </c>
      <c r="B846" s="1" t="s">
        <v>2079</v>
      </c>
      <c r="C846" s="1" t="s">
        <v>2080</v>
      </c>
      <c r="D846" s="1" t="s">
        <v>2854</v>
      </c>
      <c r="E846" s="1" t="s">
        <v>2636</v>
      </c>
      <c r="F846" s="1" t="str">
        <f>"79998    "</f>
        <v xml:space="preserve">79998    </v>
      </c>
      <c r="G846" s="1" t="str">
        <f>"8006386626"</f>
        <v>8006386626</v>
      </c>
      <c r="H846" s="1" t="s">
        <v>2637</v>
      </c>
    </row>
    <row r="847" spans="1:8" x14ac:dyDescent="0.25">
      <c r="A847" s="1" t="str">
        <f>"916  "</f>
        <v xml:space="preserve">916  </v>
      </c>
      <c r="B847" s="1" t="s">
        <v>2633</v>
      </c>
      <c r="C847" s="1" t="s">
        <v>2634</v>
      </c>
      <c r="D847" s="1" t="s">
        <v>2635</v>
      </c>
      <c r="E847" s="1" t="s">
        <v>2636</v>
      </c>
      <c r="F847" s="1" t="str">
        <f>"77274    "</f>
        <v xml:space="preserve">77274    </v>
      </c>
      <c r="G847" s="1" t="str">
        <f>"8886425040"</f>
        <v>8886425040</v>
      </c>
      <c r="H847" s="1" t="s">
        <v>2637</v>
      </c>
    </row>
    <row r="848" spans="1:8" x14ac:dyDescent="0.25">
      <c r="A848" s="1" t="str">
        <f>"961  "</f>
        <v xml:space="preserve">961  </v>
      </c>
      <c r="B848" s="1" t="s">
        <v>1037</v>
      </c>
      <c r="C848" s="1" t="s">
        <v>1038</v>
      </c>
      <c r="D848" s="1" t="s">
        <v>2195</v>
      </c>
      <c r="E848" s="1" t="s">
        <v>2196</v>
      </c>
      <c r="F848" s="1" t="str">
        <f>"89126    "</f>
        <v xml:space="preserve">89126    </v>
      </c>
      <c r="G848" s="1" t="str">
        <f>"8004584642"</f>
        <v>8004584642</v>
      </c>
      <c r="H848" s="1" t="s">
        <v>2688</v>
      </c>
    </row>
    <row r="849" spans="1:8" x14ac:dyDescent="0.25">
      <c r="A849" s="1" t="str">
        <f>"790  "</f>
        <v xml:space="preserve">790  </v>
      </c>
      <c r="B849" s="1" t="s">
        <v>2998</v>
      </c>
      <c r="C849" s="1" t="s">
        <v>2999</v>
      </c>
      <c r="D849" s="1" t="s">
        <v>2791</v>
      </c>
      <c r="E849" s="1" t="s">
        <v>2744</v>
      </c>
      <c r="F849" s="1" t="str">
        <f>"40742    "</f>
        <v xml:space="preserve">40742    </v>
      </c>
      <c r="G849" s="1" t="str">
        <f>"8007527242"</f>
        <v>8007527242</v>
      </c>
      <c r="H849" s="1" t="s">
        <v>2637</v>
      </c>
    </row>
    <row r="850" spans="1:8" x14ac:dyDescent="0.25">
      <c r="A850" s="1" t="str">
        <f>"988  "</f>
        <v xml:space="preserve">988  </v>
      </c>
      <c r="B850" s="1" t="s">
        <v>2230</v>
      </c>
      <c r="C850" s="1" t="s">
        <v>2231</v>
      </c>
      <c r="D850" s="1" t="s">
        <v>2854</v>
      </c>
      <c r="E850" s="1" t="s">
        <v>2636</v>
      </c>
      <c r="F850" s="1" t="str">
        <f>"799981610"</f>
        <v>799981610</v>
      </c>
      <c r="G850" s="1" t="str">
        <f>"8007331110"</f>
        <v>8007331110</v>
      </c>
      <c r="H850" s="1" t="s">
        <v>2637</v>
      </c>
    </row>
    <row r="851" spans="1:8" x14ac:dyDescent="0.25">
      <c r="A851" s="1" t="str">
        <f>"742  "</f>
        <v xml:space="preserve">742  </v>
      </c>
      <c r="B851" s="1" t="s">
        <v>1055</v>
      </c>
      <c r="C851" s="1" t="str">
        <f>"2000 TOWN CENTER, SUITE 2200                      "</f>
        <v xml:space="preserve">2000 TOWN CENTER, SUITE 2200                      </v>
      </c>
      <c r="D851" s="1" t="s">
        <v>1959</v>
      </c>
      <c r="E851" s="1" t="s">
        <v>2644</v>
      </c>
      <c r="F851" s="1" t="str">
        <f>"48075    "</f>
        <v xml:space="preserve">48075    </v>
      </c>
      <c r="G851" s="1" t="str">
        <f>"8009376432"</f>
        <v>8009376432</v>
      </c>
      <c r="H851" s="1" t="s">
        <v>2637</v>
      </c>
    </row>
    <row r="852" spans="1:8" x14ac:dyDescent="0.25">
      <c r="A852" s="1" t="s">
        <v>1504</v>
      </c>
      <c r="B852" s="1" t="s">
        <v>1505</v>
      </c>
      <c r="C852" s="1" t="str">
        <f>"2700 MIDWEST DR                                   "</f>
        <v xml:space="preserve">2700 MIDWEST DR                                   </v>
      </c>
      <c r="D852" s="1" t="s">
        <v>1506</v>
      </c>
      <c r="E852" s="1" t="s">
        <v>2667</v>
      </c>
      <c r="F852" s="1" t="str">
        <f>"54650    "</f>
        <v xml:space="preserve">54650    </v>
      </c>
      <c r="G852" s="1" t="str">
        <f>"8002368672"</f>
        <v>8002368672</v>
      </c>
      <c r="H852" s="1" t="s">
        <v>2637</v>
      </c>
    </row>
    <row r="853" spans="1:8" x14ac:dyDescent="0.25">
      <c r="A853" s="1" t="s">
        <v>1639</v>
      </c>
      <c r="B853" s="1" t="s">
        <v>1640</v>
      </c>
      <c r="C853" s="1" t="str">
        <f>"30 W SUPERIOR ST                                  "</f>
        <v xml:space="preserve">30 W SUPERIOR ST                                  </v>
      </c>
      <c r="D853" s="1" t="s">
        <v>2867</v>
      </c>
      <c r="E853" s="1" t="s">
        <v>2902</v>
      </c>
      <c r="F853" s="1" t="str">
        <f>"55802    "</f>
        <v xml:space="preserve">55802    </v>
      </c>
      <c r="G853" s="1" t="str">
        <f>"8888128800"</f>
        <v>8888128800</v>
      </c>
      <c r="H853" s="1" t="s">
        <v>2648</v>
      </c>
    </row>
    <row r="854" spans="1:8" x14ac:dyDescent="0.25">
      <c r="A854" s="1" t="s">
        <v>1746</v>
      </c>
      <c r="B854" s="1" t="s">
        <v>1747</v>
      </c>
      <c r="C854" s="1" t="s">
        <v>1748</v>
      </c>
      <c r="D854" s="1" t="s">
        <v>2673</v>
      </c>
      <c r="E854" s="1" t="s">
        <v>2674</v>
      </c>
      <c r="F854" s="1" t="str">
        <f>"84145    "</f>
        <v xml:space="preserve">84145    </v>
      </c>
      <c r="G854" s="1" t="str">
        <f>"8007771647"</f>
        <v>8007771647</v>
      </c>
      <c r="H854" s="1" t="s">
        <v>2760</v>
      </c>
    </row>
    <row r="855" spans="1:8" x14ac:dyDescent="0.25">
      <c r="A855" s="1" t="str">
        <f>"820  "</f>
        <v xml:space="preserve">820  </v>
      </c>
      <c r="B855" s="1" t="s">
        <v>2630</v>
      </c>
      <c r="C855" s="1" t="str">
        <f>"4001 41ST ST. WEST                                "</f>
        <v xml:space="preserve">4001 41ST ST. WEST                                </v>
      </c>
      <c r="D855" s="1" t="s">
        <v>3180</v>
      </c>
      <c r="E855" s="1" t="s">
        <v>2631</v>
      </c>
      <c r="F855" s="1" t="str">
        <f>"41154    "</f>
        <v xml:space="preserve">41154    </v>
      </c>
      <c r="G855" s="1" t="str">
        <f>"8006356671"</f>
        <v>8006356671</v>
      </c>
      <c r="H855" s="1" t="s">
        <v>2632</v>
      </c>
    </row>
    <row r="856" spans="1:8" x14ac:dyDescent="0.25">
      <c r="A856" s="1" t="str">
        <f>"545  "</f>
        <v xml:space="preserve">545  </v>
      </c>
      <c r="B856" s="1" t="s">
        <v>3273</v>
      </c>
      <c r="C856" s="1" t="s">
        <v>3274</v>
      </c>
      <c r="D856" s="1" t="s">
        <v>3275</v>
      </c>
      <c r="E856" s="1" t="s">
        <v>2663</v>
      </c>
      <c r="F856" s="1" t="str">
        <f>"90801    "</f>
        <v xml:space="preserve">90801    </v>
      </c>
      <c r="G856" s="1" t="str">
        <f>"8006424148"</f>
        <v>8006424148</v>
      </c>
      <c r="H856" s="1" t="s">
        <v>3218</v>
      </c>
    </row>
    <row r="857" spans="1:8" x14ac:dyDescent="0.25">
      <c r="A857" s="1" t="str">
        <f>"774  "</f>
        <v xml:space="preserve">774  </v>
      </c>
      <c r="B857" s="1" t="s">
        <v>1923</v>
      </c>
      <c r="C857" s="1" t="s">
        <v>1924</v>
      </c>
      <c r="D857" s="1" t="s">
        <v>1925</v>
      </c>
      <c r="E857" s="1" t="s">
        <v>2663</v>
      </c>
      <c r="F857" s="1" t="str">
        <f>"90801    "</f>
        <v xml:space="preserve">90801    </v>
      </c>
      <c r="G857" s="1" t="str">
        <f>"8006651328"</f>
        <v>8006651328</v>
      </c>
      <c r="H857" s="1" t="s">
        <v>2795</v>
      </c>
    </row>
    <row r="858" spans="1:8" x14ac:dyDescent="0.25">
      <c r="A858" s="1" t="str">
        <f>"597  "</f>
        <v xml:space="preserve">597  </v>
      </c>
      <c r="B858" s="1" t="s">
        <v>1751</v>
      </c>
      <c r="C858" s="1" t="s">
        <v>1752</v>
      </c>
      <c r="D858" s="1" t="s">
        <v>2397</v>
      </c>
      <c r="E858" s="1" t="s">
        <v>3118</v>
      </c>
      <c r="F858" s="1" t="str">
        <f>"01101    "</f>
        <v xml:space="preserve">01101    </v>
      </c>
      <c r="G858" s="1" t="str">
        <f>"8006289000"</f>
        <v>8006289000</v>
      </c>
      <c r="H858" s="1" t="s">
        <v>2637</v>
      </c>
    </row>
    <row r="859" spans="1:8" x14ac:dyDescent="0.25">
      <c r="A859" s="1" t="str">
        <f>"227  "</f>
        <v xml:space="preserve">227  </v>
      </c>
      <c r="B859" s="1" t="s">
        <v>3064</v>
      </c>
      <c r="C859" s="1" t="str">
        <f>"1111 N CHARLES STREET                             "</f>
        <v xml:space="preserve">1111 N CHARLES STREET                             </v>
      </c>
      <c r="D859" s="1" t="s">
        <v>2652</v>
      </c>
      <c r="E859" s="1" t="s">
        <v>2647</v>
      </c>
      <c r="F859" s="1" t="str">
        <f>"20201    "</f>
        <v xml:space="preserve">20201    </v>
      </c>
      <c r="G859" s="1" t="str">
        <f>"8007529797"</f>
        <v>8007529797</v>
      </c>
      <c r="H859" s="1" t="s">
        <v>2637</v>
      </c>
    </row>
    <row r="860" spans="1:8" x14ac:dyDescent="0.25">
      <c r="A860" s="1" t="str">
        <f>"148  "</f>
        <v xml:space="preserve">148  </v>
      </c>
      <c r="B860" s="1" t="s">
        <v>1067</v>
      </c>
      <c r="C860" s="1" t="s">
        <v>1068</v>
      </c>
      <c r="D860" s="1" t="s">
        <v>2676</v>
      </c>
      <c r="E860" s="1" t="s">
        <v>2677</v>
      </c>
      <c r="F860" s="1" t="str">
        <f>"27702    "</f>
        <v xml:space="preserve">27702    </v>
      </c>
      <c r="G860" s="1" t="str">
        <f>"8004445431"</f>
        <v>8004445431</v>
      </c>
      <c r="H860" s="1" t="s">
        <v>2637</v>
      </c>
    </row>
    <row r="861" spans="1:8" x14ac:dyDescent="0.25">
      <c r="A861" s="1" t="str">
        <f>"460  "</f>
        <v xml:space="preserve">460  </v>
      </c>
      <c r="B861" s="1" t="s">
        <v>2963</v>
      </c>
      <c r="C861" s="1" t="s">
        <v>2964</v>
      </c>
      <c r="D861" s="1" t="s">
        <v>2705</v>
      </c>
      <c r="E861" s="1" t="s">
        <v>2706</v>
      </c>
      <c r="F861" s="1" t="str">
        <f>"462500440"</f>
        <v>462500440</v>
      </c>
      <c r="G861" s="1" t="str">
        <f>"3175549000"</f>
        <v>3175549000</v>
      </c>
      <c r="H861" s="1" t="s">
        <v>2637</v>
      </c>
    </row>
    <row r="862" spans="1:8" x14ac:dyDescent="0.25">
      <c r="A862" s="1" t="s">
        <v>3027</v>
      </c>
      <c r="B862" s="1" t="s">
        <v>3028</v>
      </c>
      <c r="C862" s="1" t="str">
        <f>"2075 W BIG BEAVER STE 700                         "</f>
        <v xml:space="preserve">2075 W BIG BEAVER STE 700                         </v>
      </c>
      <c r="D862" s="1" t="s">
        <v>3029</v>
      </c>
      <c r="E862" s="1" t="s">
        <v>2644</v>
      </c>
      <c r="F862" s="1" t="str">
        <f>"48084    "</f>
        <v xml:space="preserve">48084    </v>
      </c>
      <c r="G862" s="1" t="str">
        <f>"2488227044"</f>
        <v>2488227044</v>
      </c>
      <c r="H862" s="1" t="s">
        <v>2760</v>
      </c>
    </row>
    <row r="863" spans="1:8" x14ac:dyDescent="0.25">
      <c r="A863" s="1" t="s">
        <v>107</v>
      </c>
      <c r="B863" s="1" t="s">
        <v>108</v>
      </c>
      <c r="C863" s="1" t="s">
        <v>109</v>
      </c>
      <c r="D863" s="1" t="s">
        <v>110</v>
      </c>
      <c r="E863" s="1" t="s">
        <v>2714</v>
      </c>
      <c r="F863" s="1" t="str">
        <f>"43086    "</f>
        <v xml:space="preserve">43086    </v>
      </c>
      <c r="G863" s="1" t="str">
        <f>"8002403870"</f>
        <v>8002403870</v>
      </c>
      <c r="H863" s="1" t="s">
        <v>2637</v>
      </c>
    </row>
    <row r="864" spans="1:8" x14ac:dyDescent="0.25">
      <c r="A864" s="1" t="str">
        <f>"733  "</f>
        <v xml:space="preserve">733  </v>
      </c>
      <c r="B864" s="1" t="s">
        <v>2986</v>
      </c>
      <c r="C864" s="1" t="s">
        <v>2987</v>
      </c>
      <c r="D864" s="1" t="s">
        <v>2988</v>
      </c>
      <c r="E864" s="1" t="s">
        <v>2989</v>
      </c>
      <c r="F864" s="1" t="str">
        <f>"83619    "</f>
        <v xml:space="preserve">83619    </v>
      </c>
      <c r="G864" s="1" t="str">
        <f>"2084527979"</f>
        <v>2084527979</v>
      </c>
      <c r="H864" s="1" t="s">
        <v>2735</v>
      </c>
    </row>
    <row r="865" spans="1:8" x14ac:dyDescent="0.25">
      <c r="A865" s="1" t="s">
        <v>2121</v>
      </c>
      <c r="B865" s="1" t="s">
        <v>2986</v>
      </c>
      <c r="C865" s="1" t="s">
        <v>2987</v>
      </c>
      <c r="D865" s="1" t="s">
        <v>2988</v>
      </c>
      <c r="E865" s="1" t="s">
        <v>2989</v>
      </c>
      <c r="F865" s="1" t="str">
        <f>"83616    "</f>
        <v xml:space="preserve">83616    </v>
      </c>
      <c r="G865" s="1" t="str">
        <f>"8669527979"</f>
        <v>8669527979</v>
      </c>
      <c r="H865" s="1" t="s">
        <v>2637</v>
      </c>
    </row>
    <row r="866" spans="1:8" x14ac:dyDescent="0.25">
      <c r="A866" s="1" t="s">
        <v>2618</v>
      </c>
      <c r="B866" s="1" t="s">
        <v>2619</v>
      </c>
      <c r="C866" s="1" t="s">
        <v>2620</v>
      </c>
      <c r="D866" s="1" t="s">
        <v>2621</v>
      </c>
      <c r="E866" s="1" t="s">
        <v>3014</v>
      </c>
      <c r="F866" s="1" t="str">
        <f>"26102    "</f>
        <v xml:space="preserve">26102    </v>
      </c>
      <c r="G866" s="1" t="str">
        <f>"3044247700"</f>
        <v>3044247700</v>
      </c>
      <c r="H866" s="1" t="s">
        <v>2637</v>
      </c>
    </row>
    <row r="867" spans="1:8" x14ac:dyDescent="0.25">
      <c r="A867" s="1" t="str">
        <f>"993  "</f>
        <v xml:space="preserve">993  </v>
      </c>
      <c r="B867" s="1" t="s">
        <v>361</v>
      </c>
      <c r="C867" s="1" t="s">
        <v>362</v>
      </c>
      <c r="D867" s="1" t="s">
        <v>3180</v>
      </c>
      <c r="E867" s="1" t="s">
        <v>2644</v>
      </c>
      <c r="F867" s="1" t="str">
        <f>"483081913"</f>
        <v>483081913</v>
      </c>
      <c r="G867" s="1" t="str">
        <f>"2488539010"</f>
        <v>2488539010</v>
      </c>
      <c r="H867" s="1" t="s">
        <v>2637</v>
      </c>
    </row>
    <row r="868" spans="1:8" x14ac:dyDescent="0.25">
      <c r="A868" s="1" t="str">
        <f>"432  "</f>
        <v xml:space="preserve">432  </v>
      </c>
      <c r="B868" s="1" t="s">
        <v>786</v>
      </c>
      <c r="C868" s="1" t="s">
        <v>787</v>
      </c>
      <c r="D868" s="1" t="s">
        <v>788</v>
      </c>
      <c r="E868" s="1" t="s">
        <v>2647</v>
      </c>
      <c r="F868" s="1" t="str">
        <f>"210900357"</f>
        <v>210900357</v>
      </c>
      <c r="G868" s="1" t="str">
        <f>"8006752605"</f>
        <v>8006752605</v>
      </c>
      <c r="H868" s="1" t="s">
        <v>2688</v>
      </c>
    </row>
    <row r="869" spans="1:8" x14ac:dyDescent="0.25">
      <c r="A869" s="1" t="s">
        <v>499</v>
      </c>
      <c r="B869" s="1" t="s">
        <v>500</v>
      </c>
      <c r="C869" s="1" t="s">
        <v>501</v>
      </c>
      <c r="D869" s="1" t="s">
        <v>502</v>
      </c>
      <c r="E869" s="1" t="s">
        <v>503</v>
      </c>
      <c r="F869" s="1" t="str">
        <f>"05823    "</f>
        <v xml:space="preserve">05823    </v>
      </c>
      <c r="G869" s="1" t="str">
        <f>"8888421530"</f>
        <v>8888421530</v>
      </c>
      <c r="H869" s="1" t="s">
        <v>2688</v>
      </c>
    </row>
    <row r="870" spans="1:8" x14ac:dyDescent="0.25">
      <c r="A870" s="1" t="str">
        <f>"564  "</f>
        <v xml:space="preserve">564  </v>
      </c>
      <c r="B870" s="1" t="s">
        <v>1555</v>
      </c>
      <c r="C870" s="1" t="s">
        <v>1556</v>
      </c>
      <c r="D870" s="1" t="s">
        <v>2705</v>
      </c>
      <c r="E870" s="1" t="s">
        <v>2706</v>
      </c>
      <c r="F870" s="1" t="str">
        <f>"46206    "</f>
        <v xml:space="preserve">46206    </v>
      </c>
      <c r="G870" s="1" t="str">
        <f>"8006052282"</f>
        <v>8006052282</v>
      </c>
      <c r="H870" s="1" t="s">
        <v>2688</v>
      </c>
    </row>
    <row r="871" spans="1:8" x14ac:dyDescent="0.25">
      <c r="A871" s="1" t="str">
        <f>"954  "</f>
        <v xml:space="preserve">954  </v>
      </c>
      <c r="B871" s="1" t="s">
        <v>240</v>
      </c>
      <c r="C871" s="1" t="str">
        <f>"115 5TH AVE                                       "</f>
        <v xml:space="preserve">115 5TH AVE                                       </v>
      </c>
      <c r="D871" s="1" t="s">
        <v>2772</v>
      </c>
      <c r="E871" s="1" t="s">
        <v>2773</v>
      </c>
      <c r="F871" s="1" t="str">
        <f>"100031004"</f>
        <v>100031004</v>
      </c>
      <c r="G871" s="1" t="str">
        <f>"8005463887"</f>
        <v>8005463887</v>
      </c>
      <c r="H871" s="1" t="s">
        <v>2637</v>
      </c>
    </row>
    <row r="872" spans="1:8" x14ac:dyDescent="0.25">
      <c r="A872" s="1" t="str">
        <f>"593  "</f>
        <v xml:space="preserve">593  </v>
      </c>
      <c r="B872" s="1" t="s">
        <v>2164</v>
      </c>
      <c r="C872" s="1" t="s">
        <v>2165</v>
      </c>
      <c r="D872" s="1" t="s">
        <v>2884</v>
      </c>
      <c r="E872" s="1" t="s">
        <v>2885</v>
      </c>
      <c r="F872" s="1" t="str">
        <f>"73123    "</f>
        <v xml:space="preserve">73123    </v>
      </c>
      <c r="G872" s="1" t="str">
        <f>"8006489652"</f>
        <v>8006489652</v>
      </c>
      <c r="H872" s="1" t="s">
        <v>2637</v>
      </c>
    </row>
    <row r="873" spans="1:8" x14ac:dyDescent="0.25">
      <c r="A873" s="1" t="str">
        <f>"724  "</f>
        <v xml:space="preserve">724  </v>
      </c>
      <c r="B873" s="1" t="s">
        <v>647</v>
      </c>
      <c r="C873" s="1" t="s">
        <v>648</v>
      </c>
      <c r="D873" s="1" t="s">
        <v>2877</v>
      </c>
      <c r="E873" s="1" t="s">
        <v>2786</v>
      </c>
      <c r="F873" s="1" t="str">
        <f>"61652    "</f>
        <v xml:space="preserve">61652    </v>
      </c>
      <c r="G873" s="1" t="str">
        <f>"8004484689"</f>
        <v>8004484689</v>
      </c>
      <c r="H873" s="1" t="s">
        <v>2688</v>
      </c>
    </row>
    <row r="874" spans="1:8" x14ac:dyDescent="0.25">
      <c r="A874" s="1" t="str">
        <f>"107  "</f>
        <v xml:space="preserve">107  </v>
      </c>
      <c r="B874" s="1" t="s">
        <v>2358</v>
      </c>
      <c r="C874" s="1" t="s">
        <v>2359</v>
      </c>
      <c r="D874" s="1" t="s">
        <v>2891</v>
      </c>
      <c r="E874" s="1" t="s">
        <v>2862</v>
      </c>
      <c r="F874" s="1" t="str">
        <f>"68175    "</f>
        <v xml:space="preserve">68175    </v>
      </c>
      <c r="G874" s="1" t="str">
        <f>"8002289090"</f>
        <v>8002289090</v>
      </c>
      <c r="H874" s="1" t="s">
        <v>2578</v>
      </c>
    </row>
    <row r="875" spans="1:8" x14ac:dyDescent="0.25">
      <c r="A875" s="1" t="str">
        <f>"635  "</f>
        <v xml:space="preserve">635  </v>
      </c>
      <c r="B875" s="1" t="s">
        <v>2358</v>
      </c>
      <c r="C875" s="1" t="s">
        <v>2359</v>
      </c>
      <c r="D875" s="1" t="s">
        <v>2891</v>
      </c>
      <c r="E875" s="1" t="s">
        <v>2862</v>
      </c>
      <c r="F875" s="1" t="str">
        <f>"68175    "</f>
        <v xml:space="preserve">68175    </v>
      </c>
      <c r="G875" s="1" t="str">
        <f>"4023427600"</f>
        <v>4023427600</v>
      </c>
      <c r="H875" s="1" t="s">
        <v>809</v>
      </c>
    </row>
    <row r="876" spans="1:8" x14ac:dyDescent="0.25">
      <c r="A876" s="1" t="str">
        <f>"636  "</f>
        <v xml:space="preserve">636  </v>
      </c>
      <c r="B876" s="1" t="s">
        <v>2358</v>
      </c>
      <c r="C876" s="1" t="s">
        <v>2359</v>
      </c>
      <c r="D876" s="1" t="s">
        <v>2891</v>
      </c>
      <c r="E876" s="1" t="s">
        <v>2862</v>
      </c>
      <c r="F876" s="1" t="str">
        <f>"68175    "</f>
        <v xml:space="preserve">68175    </v>
      </c>
      <c r="G876" s="1" t="s">
        <v>2637</v>
      </c>
      <c r="H876" s="1" t="s">
        <v>2360</v>
      </c>
    </row>
    <row r="877" spans="1:8" x14ac:dyDescent="0.25">
      <c r="A877" s="1" t="s">
        <v>871</v>
      </c>
      <c r="B877" s="1" t="s">
        <v>872</v>
      </c>
      <c r="C877" s="1" t="str">
        <f>"1515 S. 75TH ST                                   "</f>
        <v xml:space="preserve">1515 S. 75TH ST                                   </v>
      </c>
      <c r="D877" s="1" t="s">
        <v>2891</v>
      </c>
      <c r="E877" s="1" t="s">
        <v>2862</v>
      </c>
      <c r="F877" s="1" t="str">
        <f>"68124    "</f>
        <v xml:space="preserve">68124    </v>
      </c>
      <c r="G877" s="1" t="str">
        <f>"8002286080"</f>
        <v>8002286080</v>
      </c>
      <c r="H877" s="1" t="s">
        <v>873</v>
      </c>
    </row>
    <row r="878" spans="1:8" x14ac:dyDescent="0.25">
      <c r="A878" s="1" t="s">
        <v>3127</v>
      </c>
      <c r="B878" s="1" t="s">
        <v>3128</v>
      </c>
      <c r="C878" s="1" t="str">
        <f>"1515 S 75TH STREET                                "</f>
        <v xml:space="preserve">1515 S 75TH STREET                                </v>
      </c>
      <c r="D878" s="1" t="s">
        <v>2891</v>
      </c>
      <c r="E878" s="1" t="s">
        <v>2862</v>
      </c>
      <c r="F878" s="1" t="str">
        <f>"68124    "</f>
        <v xml:space="preserve">68124    </v>
      </c>
      <c r="G878" s="1" t="str">
        <f>"8002286080"</f>
        <v>8002286080</v>
      </c>
      <c r="H878" s="1" t="s">
        <v>3129</v>
      </c>
    </row>
    <row r="879" spans="1:8" x14ac:dyDescent="0.25">
      <c r="A879" s="1" t="str">
        <f>"937  "</f>
        <v xml:space="preserve">937  </v>
      </c>
      <c r="B879" s="1" t="s">
        <v>3219</v>
      </c>
      <c r="C879" s="1" t="s">
        <v>3220</v>
      </c>
      <c r="D879" s="1" t="s">
        <v>3221</v>
      </c>
      <c r="E879" s="1" t="s">
        <v>2773</v>
      </c>
      <c r="F879" s="1" t="str">
        <f>"12301    "</f>
        <v xml:space="preserve">12301    </v>
      </c>
      <c r="G879" s="1" t="str">
        <f>"8002295851"</f>
        <v>8002295851</v>
      </c>
      <c r="H879" s="1" t="s">
        <v>3222</v>
      </c>
    </row>
    <row r="880" spans="1:8" x14ac:dyDescent="0.25">
      <c r="A880" s="1" t="str">
        <f>"291  "</f>
        <v xml:space="preserve">291  </v>
      </c>
      <c r="B880" s="1" t="s">
        <v>711</v>
      </c>
      <c r="C880" s="1" t="str">
        <f>"20547 WAVERLY COURT                               "</f>
        <v xml:space="preserve">20547 WAVERLY COURT                               </v>
      </c>
      <c r="D880" s="1" t="s">
        <v>712</v>
      </c>
      <c r="E880" s="1" t="s">
        <v>3164</v>
      </c>
      <c r="F880" s="1" t="str">
        <f>"20149    "</f>
        <v xml:space="preserve">20149    </v>
      </c>
      <c r="G880" s="1" t="str">
        <f>"7037294677"</f>
        <v>7037294677</v>
      </c>
      <c r="H880" s="1" t="s">
        <v>2637</v>
      </c>
    </row>
    <row r="881" spans="1:8" x14ac:dyDescent="0.25">
      <c r="A881" s="1" t="str">
        <f>"522  "</f>
        <v xml:space="preserve">522  </v>
      </c>
      <c r="B881" s="1" t="s">
        <v>1759</v>
      </c>
      <c r="C881" s="1" t="str">
        <f>"800 CORPORATE DRIVE                               "</f>
        <v xml:space="preserve">800 CORPORATE DRIVE                               </v>
      </c>
      <c r="D881" s="1" t="s">
        <v>1760</v>
      </c>
      <c r="E881" s="1" t="s">
        <v>2647</v>
      </c>
      <c r="F881" s="1" t="str">
        <f>"20785    "</f>
        <v xml:space="preserve">20785    </v>
      </c>
      <c r="G881" s="1" t="str">
        <f>"3015771700"</f>
        <v>3015771700</v>
      </c>
      <c r="H881" s="1" t="s">
        <v>2637</v>
      </c>
    </row>
    <row r="882" spans="1:8" x14ac:dyDescent="0.25">
      <c r="A882" s="1" t="str">
        <f>"312  "</f>
        <v xml:space="preserve">312  </v>
      </c>
      <c r="B882" s="1" t="s">
        <v>2037</v>
      </c>
      <c r="C882" s="1" t="s">
        <v>2038</v>
      </c>
      <c r="D882" s="1" t="s">
        <v>2906</v>
      </c>
      <c r="E882" s="1" t="s">
        <v>2677</v>
      </c>
      <c r="F882" s="1" t="str">
        <f>"282277016"</f>
        <v>282277016</v>
      </c>
      <c r="G882" s="1" t="str">
        <f>"8004826736"</f>
        <v>8004826736</v>
      </c>
      <c r="H882" s="1" t="s">
        <v>2637</v>
      </c>
    </row>
    <row r="883" spans="1:8" x14ac:dyDescent="0.25">
      <c r="A883" s="1" t="str">
        <f>"312DN"</f>
        <v>312DN</v>
      </c>
      <c r="B883" s="1" t="s">
        <v>2037</v>
      </c>
      <c r="C883" s="1" t="s">
        <v>2038</v>
      </c>
      <c r="D883" s="1" t="s">
        <v>2906</v>
      </c>
      <c r="E883" s="1" t="s">
        <v>2677</v>
      </c>
      <c r="F883" s="1" t="str">
        <f>"282277016"</f>
        <v>282277016</v>
      </c>
      <c r="G883" s="1" t="str">
        <f>"8004826736"</f>
        <v>8004826736</v>
      </c>
      <c r="H883" s="1" t="s">
        <v>2637</v>
      </c>
    </row>
    <row r="884" spans="1:8" x14ac:dyDescent="0.25">
      <c r="A884" s="1" t="s">
        <v>1299</v>
      </c>
      <c r="B884" s="1" t="s">
        <v>1300</v>
      </c>
      <c r="C884" s="1" t="str">
        <f>"110 GIBRALTAR ROAD                                "</f>
        <v xml:space="preserve">110 GIBRALTAR ROAD                                </v>
      </c>
      <c r="D884" s="1" t="s">
        <v>1952</v>
      </c>
      <c r="E884" s="1" t="s">
        <v>2697</v>
      </c>
      <c r="F884" s="1" t="str">
        <f>"19044    "</f>
        <v xml:space="preserve">19044    </v>
      </c>
      <c r="G884" s="1" t="str">
        <f>"2154430404"</f>
        <v>2154430404</v>
      </c>
      <c r="H884" s="1" t="s">
        <v>2637</v>
      </c>
    </row>
    <row r="885" spans="1:8" x14ac:dyDescent="0.25">
      <c r="A885" s="1" t="str">
        <f>"260  "</f>
        <v xml:space="preserve">260  </v>
      </c>
      <c r="B885" s="1" t="s">
        <v>2852</v>
      </c>
      <c r="C885" s="1" t="s">
        <v>1155</v>
      </c>
      <c r="D885" s="1" t="s">
        <v>1156</v>
      </c>
      <c r="E885" s="1" t="s">
        <v>3164</v>
      </c>
      <c r="F885" s="1" t="str">
        <f>"220388022"</f>
        <v>220388022</v>
      </c>
      <c r="G885" s="1" t="str">
        <f>"8662199292"</f>
        <v>8662199292</v>
      </c>
      <c r="H885" s="1" t="s">
        <v>2735</v>
      </c>
    </row>
    <row r="886" spans="1:8" x14ac:dyDescent="0.25">
      <c r="A886" s="1" t="str">
        <f>"267  "</f>
        <v xml:space="preserve">267  </v>
      </c>
      <c r="B886" s="1" t="s">
        <v>2852</v>
      </c>
      <c r="C886" s="1" t="s">
        <v>1168</v>
      </c>
      <c r="D886" s="1" t="s">
        <v>2906</v>
      </c>
      <c r="E886" s="1" t="s">
        <v>2677</v>
      </c>
      <c r="F886" s="1" t="str">
        <f>"282220887"</f>
        <v>282220887</v>
      </c>
      <c r="G886" s="1" t="str">
        <f>"7043643865"</f>
        <v>7043643865</v>
      </c>
      <c r="H886" s="1" t="s">
        <v>2688</v>
      </c>
    </row>
    <row r="887" spans="1:8" x14ac:dyDescent="0.25">
      <c r="A887" s="1" t="s">
        <v>2851</v>
      </c>
      <c r="B887" s="1" t="s">
        <v>2852</v>
      </c>
      <c r="C887" s="1" t="s">
        <v>2853</v>
      </c>
      <c r="D887" s="1" t="s">
        <v>2854</v>
      </c>
      <c r="E887" s="1" t="s">
        <v>2636</v>
      </c>
      <c r="F887" s="1" t="str">
        <f>"799981610"</f>
        <v>799981610</v>
      </c>
      <c r="G887" s="1" t="str">
        <f>"7043643865"</f>
        <v>7043643865</v>
      </c>
      <c r="H887" s="1" t="s">
        <v>2637</v>
      </c>
    </row>
    <row r="888" spans="1:8" x14ac:dyDescent="0.25">
      <c r="A888" s="1" t="s">
        <v>2223</v>
      </c>
      <c r="B888" s="1" t="s">
        <v>2852</v>
      </c>
      <c r="C888" s="1" t="s">
        <v>2224</v>
      </c>
      <c r="D888" s="1" t="s">
        <v>2906</v>
      </c>
      <c r="E888" s="1" t="s">
        <v>2677</v>
      </c>
      <c r="F888" s="1" t="str">
        <f>"28222    "</f>
        <v xml:space="preserve">28222    </v>
      </c>
      <c r="G888" s="1" t="str">
        <f>"7043643865"</f>
        <v>7043643865</v>
      </c>
      <c r="H888" s="1" t="s">
        <v>2637</v>
      </c>
    </row>
    <row r="889" spans="1:8" x14ac:dyDescent="0.25">
      <c r="A889" s="1" t="str">
        <f>"444  "</f>
        <v xml:space="preserve">444  </v>
      </c>
      <c r="B889" s="1" t="s">
        <v>1229</v>
      </c>
      <c r="C889" s="1" t="s">
        <v>2637</v>
      </c>
      <c r="D889" s="1" t="s">
        <v>2637</v>
      </c>
      <c r="E889" s="1" t="s">
        <v>2637</v>
      </c>
      <c r="F889" s="1" t="s">
        <v>2637</v>
      </c>
      <c r="G889" s="1" t="s">
        <v>2637</v>
      </c>
      <c r="H889" s="1" t="s">
        <v>2637</v>
      </c>
    </row>
    <row r="890" spans="1:8" x14ac:dyDescent="0.25">
      <c r="A890" s="1" t="str">
        <f>"599  "</f>
        <v xml:space="preserve">599  </v>
      </c>
      <c r="B890" s="1" t="s">
        <v>2000</v>
      </c>
      <c r="C890" s="1" t="s">
        <v>2001</v>
      </c>
      <c r="D890" s="1" t="s">
        <v>2002</v>
      </c>
      <c r="E890" s="1" t="s">
        <v>2697</v>
      </c>
      <c r="F890" s="1" t="str">
        <f>"190730477"</f>
        <v>190730477</v>
      </c>
      <c r="G890" s="1" t="str">
        <f>"8005234702"</f>
        <v>8005234702</v>
      </c>
      <c r="H890" s="1" t="s">
        <v>2637</v>
      </c>
    </row>
    <row r="891" spans="1:8" x14ac:dyDescent="0.25">
      <c r="A891" s="1" t="s">
        <v>741</v>
      </c>
      <c r="B891" s="1" t="s">
        <v>742</v>
      </c>
      <c r="C891" s="1" t="str">
        <f>"1920 N. FLORIDA MANGO RD                          "</f>
        <v xml:space="preserve">1920 N. FLORIDA MANGO RD                          </v>
      </c>
      <c r="D891" s="1" t="s">
        <v>743</v>
      </c>
      <c r="E891" s="1" t="s">
        <v>2832</v>
      </c>
      <c r="F891" s="1" t="str">
        <f>"33409    "</f>
        <v xml:space="preserve">33409    </v>
      </c>
      <c r="G891" s="1" t="str">
        <f>"8008225899"</f>
        <v>8008225899</v>
      </c>
      <c r="H891" s="1" t="s">
        <v>2637</v>
      </c>
    </row>
    <row r="892" spans="1:8" x14ac:dyDescent="0.25">
      <c r="A892" s="1" t="str">
        <f>"263  "</f>
        <v xml:space="preserve">263  </v>
      </c>
      <c r="B892" s="1" t="s">
        <v>3018</v>
      </c>
      <c r="C892" s="1" t="str">
        <f>"110 WEST 7TH ST. SUITE 300                        "</f>
        <v xml:space="preserve">110 WEST 7TH ST. SUITE 300                        </v>
      </c>
      <c r="D892" s="1" t="s">
        <v>3019</v>
      </c>
      <c r="E892" s="1" t="s">
        <v>2636</v>
      </c>
      <c r="F892" s="1" t="str">
        <f>"76102    "</f>
        <v xml:space="preserve">76102    </v>
      </c>
      <c r="G892" s="1" t="str">
        <f>"8007251407"</f>
        <v>8007251407</v>
      </c>
      <c r="H892" s="1" t="s">
        <v>2637</v>
      </c>
    </row>
    <row r="893" spans="1:8" x14ac:dyDescent="0.25">
      <c r="A893" s="1" t="s">
        <v>1762</v>
      </c>
      <c r="B893" s="1" t="s">
        <v>1763</v>
      </c>
      <c r="C893" s="1" t="str">
        <f>"110 WEST 7TH ST. SUITE 300                        "</f>
        <v xml:space="preserve">110 WEST 7TH ST. SUITE 300                        </v>
      </c>
      <c r="D893" s="1" t="s">
        <v>2465</v>
      </c>
      <c r="E893" s="1" t="s">
        <v>2636</v>
      </c>
      <c r="F893" s="1" t="str">
        <f>"76102    "</f>
        <v xml:space="preserve">76102    </v>
      </c>
      <c r="G893" s="1" t="str">
        <f>"8002219039"</f>
        <v>8002219039</v>
      </c>
      <c r="H893" s="1" t="s">
        <v>2637</v>
      </c>
    </row>
    <row r="894" spans="1:8" x14ac:dyDescent="0.25">
      <c r="A894" s="1" t="str">
        <f>"472  "</f>
        <v xml:space="preserve">472  </v>
      </c>
      <c r="B894" s="1" t="s">
        <v>509</v>
      </c>
      <c r="C894" s="1" t="s">
        <v>510</v>
      </c>
      <c r="D894" s="1" t="s">
        <v>511</v>
      </c>
      <c r="E894" s="1" t="s">
        <v>2970</v>
      </c>
      <c r="F894" s="1" t="str">
        <f>"371331398"</f>
        <v>371331398</v>
      </c>
      <c r="G894" s="1" t="str">
        <f>"6158902020"</f>
        <v>6158902020</v>
      </c>
      <c r="H894" s="1" t="s">
        <v>2637</v>
      </c>
    </row>
    <row r="895" spans="1:8" x14ac:dyDescent="0.25">
      <c r="A895" s="1" t="str">
        <f>"929  "</f>
        <v xml:space="preserve">929  </v>
      </c>
      <c r="B895" s="1" t="s">
        <v>3119</v>
      </c>
      <c r="C895" s="1" t="s">
        <v>3120</v>
      </c>
      <c r="D895" s="1" t="s">
        <v>3121</v>
      </c>
      <c r="E895" s="1" t="s">
        <v>2636</v>
      </c>
      <c r="F895" s="1" t="str">
        <f>"752619999"</f>
        <v>752619999</v>
      </c>
      <c r="G895" s="1" t="str">
        <f>"8002371900"</f>
        <v>8002371900</v>
      </c>
      <c r="H895" s="1" t="s">
        <v>2637</v>
      </c>
    </row>
    <row r="896" spans="1:8" x14ac:dyDescent="0.25">
      <c r="A896" s="1" t="str">
        <f>"828  "</f>
        <v xml:space="preserve">828  </v>
      </c>
      <c r="B896" s="1" t="s">
        <v>2859</v>
      </c>
      <c r="C896" s="1" t="s">
        <v>2860</v>
      </c>
      <c r="D896" s="1" t="s">
        <v>2861</v>
      </c>
      <c r="E896" s="1" t="s">
        <v>2862</v>
      </c>
      <c r="F896" s="1" t="str">
        <f>"68017    "</f>
        <v xml:space="preserve">68017    </v>
      </c>
      <c r="G896" s="1" t="str">
        <f>"8005465677"</f>
        <v>8005465677</v>
      </c>
      <c r="H896" s="1" t="s">
        <v>2637</v>
      </c>
    </row>
    <row r="897" spans="1:8" x14ac:dyDescent="0.25">
      <c r="A897" s="1" t="str">
        <f>"495  "</f>
        <v xml:space="preserve">495  </v>
      </c>
      <c r="B897" s="1" t="s">
        <v>288</v>
      </c>
      <c r="C897" s="1" t="s">
        <v>289</v>
      </c>
      <c r="D897" s="1" t="s">
        <v>290</v>
      </c>
      <c r="E897" s="1" t="s">
        <v>2821</v>
      </c>
      <c r="F897" s="1" t="str">
        <f>"079361981"</f>
        <v>079361981</v>
      </c>
      <c r="G897" s="1" t="str">
        <f>"8005226727"</f>
        <v>8005226727</v>
      </c>
      <c r="H897" s="1" t="s">
        <v>291</v>
      </c>
    </row>
    <row r="898" spans="1:8" x14ac:dyDescent="0.25">
      <c r="A898" s="1" t="str">
        <f>"334  "</f>
        <v xml:space="preserve">334  </v>
      </c>
      <c r="B898" s="1" t="s">
        <v>2078</v>
      </c>
      <c r="C898" s="1" t="str">
        <f>"1750 PENNSYLVANIA AVE., NW                        "</f>
        <v xml:space="preserve">1750 PENNSYLVANIA AVE., NW                        </v>
      </c>
      <c r="D898" s="1" t="s">
        <v>2691</v>
      </c>
      <c r="E898" s="1" t="s">
        <v>2692</v>
      </c>
      <c r="F898" s="1" t="str">
        <f>"20006    "</f>
        <v xml:space="preserve">20006    </v>
      </c>
      <c r="G898" s="1" t="str">
        <f>"8006388432"</f>
        <v>8006388432</v>
      </c>
      <c r="H898" s="1" t="s">
        <v>2637</v>
      </c>
    </row>
    <row r="899" spans="1:8" x14ac:dyDescent="0.25">
      <c r="A899" s="1" t="s">
        <v>1230</v>
      </c>
      <c r="B899" s="1" t="s">
        <v>1231</v>
      </c>
      <c r="C899" s="1" t="s">
        <v>1232</v>
      </c>
      <c r="D899" s="1" t="s">
        <v>917</v>
      </c>
      <c r="E899" s="1" t="s">
        <v>2670</v>
      </c>
      <c r="F899" s="1" t="str">
        <f>"63141    "</f>
        <v xml:space="preserve">63141    </v>
      </c>
      <c r="G899" s="1" t="str">
        <f>"3148780101"</f>
        <v>3148780101</v>
      </c>
      <c r="H899" s="1" t="s">
        <v>2637</v>
      </c>
    </row>
    <row r="900" spans="1:8" x14ac:dyDescent="0.25">
      <c r="A900" s="1" t="str">
        <f>"914  "</f>
        <v xml:space="preserve">914  </v>
      </c>
      <c r="B900" s="1" t="s">
        <v>1852</v>
      </c>
      <c r="C900" s="1" t="s">
        <v>1853</v>
      </c>
      <c r="D900" s="1" t="s">
        <v>1854</v>
      </c>
      <c r="E900" s="1" t="s">
        <v>2636</v>
      </c>
      <c r="F900" s="1" t="str">
        <f>"75001    "</f>
        <v xml:space="preserve">75001    </v>
      </c>
      <c r="G900" s="1" t="str">
        <f>"8886716771"</f>
        <v>8886716771</v>
      </c>
      <c r="H900" s="1" t="s">
        <v>2637</v>
      </c>
    </row>
    <row r="901" spans="1:8" x14ac:dyDescent="0.25">
      <c r="A901" s="1" t="str">
        <f>"414  "</f>
        <v xml:space="preserve">414  </v>
      </c>
      <c r="B901" s="1" t="s">
        <v>802</v>
      </c>
      <c r="C901" s="1" t="str">
        <f>"1 WEST PACK SQUARE, SUITE 600                     "</f>
        <v xml:space="preserve">1 WEST PACK SQUARE, SUITE 600                     </v>
      </c>
      <c r="D901" s="1" t="s">
        <v>803</v>
      </c>
      <c r="E901" s="1" t="s">
        <v>2677</v>
      </c>
      <c r="F901" s="1" t="str">
        <f>"28801    "</f>
        <v xml:space="preserve">28801    </v>
      </c>
      <c r="G901" s="1" t="str">
        <f>"8282529776"</f>
        <v>8282529776</v>
      </c>
      <c r="H901" s="1" t="s">
        <v>2637</v>
      </c>
    </row>
    <row r="902" spans="1:8" x14ac:dyDescent="0.25">
      <c r="A902" s="1" t="str">
        <f>"558  "</f>
        <v xml:space="preserve">558  </v>
      </c>
      <c r="B902" s="1" t="s">
        <v>1604</v>
      </c>
      <c r="C902" s="1" t="s">
        <v>1605</v>
      </c>
      <c r="D902" s="1" t="s">
        <v>2442</v>
      </c>
      <c r="E902" s="1" t="s">
        <v>3264</v>
      </c>
      <c r="F902" s="1" t="str">
        <f>"50306    "</f>
        <v xml:space="preserve">50306    </v>
      </c>
      <c r="G902" s="1" t="str">
        <f>"8002325818"</f>
        <v>8002325818</v>
      </c>
      <c r="H902" s="1" t="s">
        <v>1606</v>
      </c>
    </row>
    <row r="903" spans="1:8" x14ac:dyDescent="0.25">
      <c r="A903" s="1" t="str">
        <f>"388  "</f>
        <v xml:space="preserve">388  </v>
      </c>
      <c r="B903" s="1" t="s">
        <v>2400</v>
      </c>
      <c r="C903" s="1" t="s">
        <v>2401</v>
      </c>
      <c r="D903" s="1" t="s">
        <v>2635</v>
      </c>
      <c r="E903" s="1" t="s">
        <v>2636</v>
      </c>
      <c r="F903" s="1" t="str">
        <f>"77268    "</f>
        <v xml:space="preserve">77268    </v>
      </c>
      <c r="G903" s="1" t="str">
        <f>"8008107856"</f>
        <v>8008107856</v>
      </c>
      <c r="H903" s="1" t="s">
        <v>2637</v>
      </c>
    </row>
    <row r="904" spans="1:8" x14ac:dyDescent="0.25">
      <c r="A904" s="1" t="str">
        <f>"163  "</f>
        <v xml:space="preserve">163  </v>
      </c>
      <c r="B904" s="1" t="s">
        <v>1991</v>
      </c>
      <c r="C904" s="1" t="s">
        <v>1992</v>
      </c>
      <c r="D904" s="1" t="s">
        <v>2923</v>
      </c>
      <c r="E904" s="1" t="s">
        <v>2714</v>
      </c>
      <c r="F904" s="1" t="str">
        <f>"432182202"</f>
        <v>432182202</v>
      </c>
      <c r="G904" s="1" t="str">
        <f>"6142497111"</f>
        <v>6142497111</v>
      </c>
      <c r="H904" s="1" t="s">
        <v>2637</v>
      </c>
    </row>
    <row r="905" spans="1:8" x14ac:dyDescent="0.25">
      <c r="A905" s="1" t="s">
        <v>766</v>
      </c>
      <c r="B905" s="1" t="s">
        <v>767</v>
      </c>
      <c r="C905" s="1" t="s">
        <v>768</v>
      </c>
      <c r="D905" s="1" t="s">
        <v>2397</v>
      </c>
      <c r="E905" s="1" t="s">
        <v>3118</v>
      </c>
      <c r="F905" s="1" t="str">
        <f>"01101    "</f>
        <v xml:space="preserve">01101    </v>
      </c>
      <c r="G905" s="1" t="str">
        <f>"8005174791"</f>
        <v>8005174791</v>
      </c>
      <c r="H905" s="1" t="s">
        <v>2637</v>
      </c>
    </row>
    <row r="906" spans="1:8" x14ac:dyDescent="0.25">
      <c r="A906" s="1" t="str">
        <f>"518  "</f>
        <v xml:space="preserve">518  </v>
      </c>
      <c r="B906" s="1" t="s">
        <v>3062</v>
      </c>
      <c r="C906" s="1" t="str">
        <f>"4600 POWDER MILL RD.                              "</f>
        <v xml:space="preserve">4600 POWDER MILL RD.                              </v>
      </c>
      <c r="D906" s="1" t="s">
        <v>3063</v>
      </c>
      <c r="E906" s="1" t="s">
        <v>2647</v>
      </c>
      <c r="F906" s="1" t="str">
        <f>"20705    "</f>
        <v xml:space="preserve">20705    </v>
      </c>
      <c r="G906" s="1" t="str">
        <f>"8003863632"</f>
        <v>8003863632</v>
      </c>
      <c r="H906" s="1" t="s">
        <v>2637</v>
      </c>
    </row>
    <row r="907" spans="1:8" x14ac:dyDescent="0.25">
      <c r="A907" s="1" t="s">
        <v>744</v>
      </c>
      <c r="B907" s="1" t="s">
        <v>745</v>
      </c>
      <c r="C907" s="1" t="s">
        <v>746</v>
      </c>
      <c r="D907" s="1" t="s">
        <v>2666</v>
      </c>
      <c r="E907" s="1" t="s">
        <v>2667</v>
      </c>
      <c r="F907" s="1" t="str">
        <f>"549120999"</f>
        <v>549120999</v>
      </c>
      <c r="G907" s="1" t="str">
        <f>"8662682501"</f>
        <v>8662682501</v>
      </c>
      <c r="H907" s="1" t="s">
        <v>2637</v>
      </c>
    </row>
    <row r="908" spans="1:8" x14ac:dyDescent="0.25">
      <c r="A908" s="1" t="str">
        <f>"800  "</f>
        <v xml:space="preserve">800  </v>
      </c>
      <c r="B908" s="1" t="s">
        <v>429</v>
      </c>
      <c r="C908" s="1" t="s">
        <v>1686</v>
      </c>
      <c r="D908" s="1" t="s">
        <v>430</v>
      </c>
      <c r="E908" s="1" t="s">
        <v>2697</v>
      </c>
      <c r="F908" s="1" t="str">
        <f>"185040097"</f>
        <v>185040097</v>
      </c>
      <c r="G908" s="1" t="str">
        <f>"8007177562"</f>
        <v>8007177562</v>
      </c>
      <c r="H908" s="1" t="s">
        <v>2760</v>
      </c>
    </row>
    <row r="909" spans="1:8" x14ac:dyDescent="0.25">
      <c r="A909" s="1" t="str">
        <f>"141  "</f>
        <v xml:space="preserve">141  </v>
      </c>
      <c r="B909" s="1" t="s">
        <v>825</v>
      </c>
      <c r="C909" s="1" t="str">
        <f>"428 E SCOTT AVENUE - P O BOX 3070                 "</f>
        <v xml:space="preserve">428 E SCOTT AVENUE - P O BOX 3070                 </v>
      </c>
      <c r="D909" s="1" t="s">
        <v>2969</v>
      </c>
      <c r="E909" s="1" t="s">
        <v>2970</v>
      </c>
      <c r="F909" s="1" t="str">
        <f>"37927    "</f>
        <v xml:space="preserve">37927    </v>
      </c>
      <c r="G909" s="1" t="str">
        <f>"         -"</f>
        <v xml:space="preserve">         -</v>
      </c>
      <c r="H909" s="1" t="s">
        <v>2637</v>
      </c>
    </row>
    <row r="910" spans="1:8" x14ac:dyDescent="0.25">
      <c r="A910" s="1" t="str">
        <f>"806  "</f>
        <v xml:space="preserve">806  </v>
      </c>
      <c r="B910" s="1" t="s">
        <v>1117</v>
      </c>
      <c r="C910" s="1" t="s">
        <v>1118</v>
      </c>
      <c r="D910" s="1" t="s">
        <v>1119</v>
      </c>
      <c r="E910" s="1" t="s">
        <v>2667</v>
      </c>
      <c r="F910" s="1" t="str">
        <f>"54952    "</f>
        <v xml:space="preserve">54952    </v>
      </c>
      <c r="G910" s="1" t="str">
        <f>"9207201300"</f>
        <v>9207201300</v>
      </c>
      <c r="H910" s="1" t="s">
        <v>2760</v>
      </c>
    </row>
    <row r="911" spans="1:8" x14ac:dyDescent="0.25">
      <c r="A911" s="1" t="str">
        <f>"360  "</f>
        <v xml:space="preserve">360  </v>
      </c>
      <c r="B911" s="1" t="s">
        <v>1832</v>
      </c>
      <c r="C911" s="1" t="s">
        <v>1454</v>
      </c>
      <c r="D911" s="1" t="s">
        <v>1833</v>
      </c>
      <c r="E911" s="1" t="s">
        <v>2660</v>
      </c>
      <c r="F911" s="1" t="str">
        <f>"29419    "</f>
        <v xml:space="preserve">29419    </v>
      </c>
      <c r="G911" s="1" t="str">
        <f>"8004087681"</f>
        <v>8004087681</v>
      </c>
      <c r="H911" s="1" t="s">
        <v>1834</v>
      </c>
    </row>
    <row r="912" spans="1:8" x14ac:dyDescent="0.25">
      <c r="A912" s="1" t="str">
        <f>"859  "</f>
        <v xml:space="preserve">859  </v>
      </c>
      <c r="B912" s="1" t="s">
        <v>2228</v>
      </c>
      <c r="C912" s="1" t="s">
        <v>2229</v>
      </c>
      <c r="D912" s="1" t="s">
        <v>2981</v>
      </c>
      <c r="E912" s="1" t="s">
        <v>2832</v>
      </c>
      <c r="F912" s="1" t="str">
        <f>"33630    "</f>
        <v xml:space="preserve">33630    </v>
      </c>
      <c r="G912" s="1" t="str">
        <f>"8006541731"</f>
        <v>8006541731</v>
      </c>
      <c r="H912" s="1" t="s">
        <v>2637</v>
      </c>
    </row>
    <row r="913" spans="1:8" x14ac:dyDescent="0.25">
      <c r="A913" s="1" t="str">
        <f>"248  "</f>
        <v xml:space="preserve">248  </v>
      </c>
      <c r="B913" s="1" t="s">
        <v>1257</v>
      </c>
      <c r="C913" s="1" t="str">
        <f>"25145 COUNTRY CLUB BLVD                           "</f>
        <v xml:space="preserve">25145 COUNTRY CLUB BLVD                           </v>
      </c>
      <c r="D913" s="1" t="s">
        <v>1258</v>
      </c>
      <c r="E913" s="1" t="s">
        <v>2714</v>
      </c>
      <c r="F913" s="1" t="str">
        <f>"440705300"</f>
        <v>440705300</v>
      </c>
      <c r="G913" s="1" t="str">
        <f>"8002558063"</f>
        <v>8002558063</v>
      </c>
      <c r="H913" s="1" t="s">
        <v>2637</v>
      </c>
    </row>
    <row r="914" spans="1:8" x14ac:dyDescent="0.25">
      <c r="A914" s="1" t="str">
        <f>"437  "</f>
        <v xml:space="preserve">437  </v>
      </c>
      <c r="B914" s="1" t="s">
        <v>465</v>
      </c>
      <c r="C914" s="1" t="s">
        <v>466</v>
      </c>
      <c r="D914" s="1" t="s">
        <v>2635</v>
      </c>
      <c r="E914" s="1" t="s">
        <v>2636</v>
      </c>
      <c r="F914" s="1" t="str">
        <f>"772104884"</f>
        <v>772104884</v>
      </c>
      <c r="G914" s="1" t="str">
        <f>"2813687200"</f>
        <v>2813687200</v>
      </c>
      <c r="H914" s="1" t="s">
        <v>2637</v>
      </c>
    </row>
    <row r="915" spans="1:8" x14ac:dyDescent="0.25">
      <c r="A915" s="1" t="str">
        <f>"520  "</f>
        <v xml:space="preserve">520  </v>
      </c>
      <c r="B915" s="1" t="s">
        <v>3210</v>
      </c>
      <c r="C915" s="1" t="s">
        <v>3211</v>
      </c>
      <c r="D915" s="1" t="s">
        <v>3212</v>
      </c>
      <c r="E915" s="1" t="s">
        <v>2821</v>
      </c>
      <c r="F915" s="1" t="str">
        <f>"088180846"</f>
        <v>088180846</v>
      </c>
      <c r="G915" s="1" t="str">
        <f>"8006243096"</f>
        <v>8006243096</v>
      </c>
      <c r="H915" s="1" t="s">
        <v>2648</v>
      </c>
    </row>
    <row r="916" spans="1:8" x14ac:dyDescent="0.25">
      <c r="A916" s="1" t="str">
        <f>"808  "</f>
        <v xml:space="preserve">808  </v>
      </c>
      <c r="B916" s="1" t="s">
        <v>1816</v>
      </c>
      <c r="C916" s="1" t="s">
        <v>1817</v>
      </c>
      <c r="D916" s="1" t="s">
        <v>1818</v>
      </c>
      <c r="E916" s="1" t="s">
        <v>2647</v>
      </c>
      <c r="F916" s="1" t="str">
        <f>"21031    "</f>
        <v xml:space="preserve">21031    </v>
      </c>
      <c r="G916" s="1" t="str">
        <f>"8005706745"</f>
        <v>8005706745</v>
      </c>
      <c r="H916" s="1" t="s">
        <v>2637</v>
      </c>
    </row>
    <row r="917" spans="1:8" x14ac:dyDescent="0.25">
      <c r="A917" s="1" t="s">
        <v>818</v>
      </c>
      <c r="B917" s="1" t="s">
        <v>819</v>
      </c>
      <c r="C917" s="1" t="s">
        <v>820</v>
      </c>
      <c r="D917" s="1" t="s">
        <v>2616</v>
      </c>
      <c r="E917" s="1" t="s">
        <v>2660</v>
      </c>
      <c r="F917" s="1" t="str">
        <f>"29304    "</f>
        <v xml:space="preserve">29304    </v>
      </c>
      <c r="G917" s="1" t="str">
        <f>"8004761555"</f>
        <v>8004761555</v>
      </c>
      <c r="H917" s="1" t="s">
        <v>2760</v>
      </c>
    </row>
    <row r="918" spans="1:8" x14ac:dyDescent="0.25">
      <c r="A918" s="1" t="str">
        <f>"165  "</f>
        <v xml:space="preserve">165  </v>
      </c>
      <c r="B918" s="1" t="s">
        <v>2482</v>
      </c>
      <c r="C918" s="1" t="s">
        <v>2483</v>
      </c>
      <c r="D918" s="1" t="s">
        <v>2717</v>
      </c>
      <c r="E918" s="1" t="s">
        <v>2681</v>
      </c>
      <c r="F918" s="1" t="str">
        <f>"30348    "</f>
        <v xml:space="preserve">30348    </v>
      </c>
      <c r="G918" s="1" t="str">
        <f>"8003884580"</f>
        <v>8003884580</v>
      </c>
      <c r="H918" s="1" t="s">
        <v>2637</v>
      </c>
    </row>
    <row r="919" spans="1:8" x14ac:dyDescent="0.25">
      <c r="A919" s="1" t="s">
        <v>2447</v>
      </c>
      <c r="B919" s="1" t="s">
        <v>2448</v>
      </c>
      <c r="C919" s="1" t="str">
        <f>"101-49 WOOKHAVEN BLVD                             "</f>
        <v xml:space="preserve">101-49 WOOKHAVEN BLVD                             </v>
      </c>
      <c r="D919" s="1" t="s">
        <v>2449</v>
      </c>
      <c r="E919" s="1" t="s">
        <v>2773</v>
      </c>
      <c r="F919" s="1" t="str">
        <f>"11416    "</f>
        <v xml:space="preserve">11416    </v>
      </c>
      <c r="G919" s="1" t="str">
        <f>"7188455800"</f>
        <v>7188455800</v>
      </c>
      <c r="H919" s="1" t="s">
        <v>2648</v>
      </c>
    </row>
    <row r="920" spans="1:8" x14ac:dyDescent="0.25">
      <c r="A920" s="1" t="str">
        <f>"685  "</f>
        <v xml:space="preserve">685  </v>
      </c>
      <c r="B920" s="1" t="s">
        <v>2722</v>
      </c>
      <c r="C920" s="1" t="str">
        <f>"-                                                 "</f>
        <v xml:space="preserve">-                                                 </v>
      </c>
      <c r="D920" s="1" t="str">
        <f>"-                                      "</f>
        <v xml:space="preserve">-                                      </v>
      </c>
      <c r="E920" s="1" t="str">
        <f>"- "</f>
        <v xml:space="preserve">- </v>
      </c>
      <c r="F920" s="1" t="str">
        <f>"-        "</f>
        <v xml:space="preserve">-        </v>
      </c>
      <c r="G920" s="1" t="s">
        <v>2637</v>
      </c>
      <c r="H920" s="1" t="s">
        <v>2637</v>
      </c>
    </row>
    <row r="921" spans="1:8" x14ac:dyDescent="0.25">
      <c r="A921" s="1" t="s">
        <v>3146</v>
      </c>
      <c r="B921" s="1" t="s">
        <v>3147</v>
      </c>
      <c r="C921" s="1" t="s">
        <v>3148</v>
      </c>
      <c r="D921" s="1" t="s">
        <v>3149</v>
      </c>
      <c r="E921" s="1" t="s">
        <v>2644</v>
      </c>
      <c r="F921" s="1" t="str">
        <f>"48080    "</f>
        <v xml:space="preserve">48080    </v>
      </c>
      <c r="G921" s="1" t="str">
        <f>"8107797676"</f>
        <v>8107797676</v>
      </c>
      <c r="H921" s="1" t="s">
        <v>2637</v>
      </c>
    </row>
    <row r="922" spans="1:8" x14ac:dyDescent="0.25">
      <c r="A922" s="1" t="s">
        <v>2132</v>
      </c>
      <c r="B922" s="1" t="s">
        <v>2133</v>
      </c>
      <c r="C922" s="1" t="s">
        <v>2134</v>
      </c>
      <c r="D922" s="1" t="s">
        <v>3095</v>
      </c>
      <c r="E922" s="1" t="s">
        <v>2749</v>
      </c>
      <c r="F922" s="1" t="str">
        <f>"662255951"</f>
        <v>662255951</v>
      </c>
      <c r="G922" s="1" t="str">
        <f>"8003741835"</f>
        <v>8003741835</v>
      </c>
      <c r="H922" s="1" t="s">
        <v>2637</v>
      </c>
    </row>
    <row r="923" spans="1:8" x14ac:dyDescent="0.25">
      <c r="A923" s="1" t="str">
        <f>"174  "</f>
        <v xml:space="preserve">174  </v>
      </c>
      <c r="B923" s="1" t="s">
        <v>2583</v>
      </c>
      <c r="C923" s="1" t="str">
        <f>"360 WEST 31ST STREET, 3RD FL                      "</f>
        <v xml:space="preserve">360 WEST 31ST STREET, 3RD FL                      </v>
      </c>
      <c r="D923" s="1" t="s">
        <v>2772</v>
      </c>
      <c r="E923" s="1" t="s">
        <v>2773</v>
      </c>
      <c r="F923" s="1" t="str">
        <f>"10001    "</f>
        <v xml:space="preserve">10001    </v>
      </c>
      <c r="G923" s="1" t="str">
        <f>"2123374900"</f>
        <v>2123374900</v>
      </c>
      <c r="H923" s="1" t="s">
        <v>2637</v>
      </c>
    </row>
    <row r="924" spans="1:8" x14ac:dyDescent="0.25">
      <c r="A924" s="1" t="str">
        <f>"350  "</f>
        <v xml:space="preserve">350  </v>
      </c>
      <c r="B924" s="1" t="s">
        <v>3155</v>
      </c>
      <c r="C924" s="1" t="s">
        <v>3156</v>
      </c>
      <c r="D924" s="1" t="s">
        <v>3157</v>
      </c>
      <c r="E924" s="1" t="s">
        <v>2970</v>
      </c>
      <c r="F924" s="1" t="str">
        <f>"37203    "</f>
        <v xml:space="preserve">37203    </v>
      </c>
      <c r="G924" s="1" t="str">
        <f>"6152563561"</f>
        <v>6152563561</v>
      </c>
      <c r="H924" s="1" t="s">
        <v>2637</v>
      </c>
    </row>
    <row r="925" spans="1:8" x14ac:dyDescent="0.25">
      <c r="A925" s="1" t="str">
        <f>"384  "</f>
        <v xml:space="preserve">384  </v>
      </c>
      <c r="B925" s="1" t="s">
        <v>2264</v>
      </c>
      <c r="C925" s="1" t="s">
        <v>2265</v>
      </c>
      <c r="D925" s="1" t="s">
        <v>2713</v>
      </c>
      <c r="E925" s="1" t="s">
        <v>2714</v>
      </c>
      <c r="F925" s="1" t="str">
        <f>"441014928"</f>
        <v>441014928</v>
      </c>
      <c r="G925" s="1" t="str">
        <f>"8003214085"</f>
        <v>8003214085</v>
      </c>
      <c r="H925" s="1" t="s">
        <v>2637</v>
      </c>
    </row>
    <row r="926" spans="1:8" x14ac:dyDescent="0.25">
      <c r="A926" s="1" t="s">
        <v>2300</v>
      </c>
      <c r="B926" s="1" t="s">
        <v>2301</v>
      </c>
      <c r="C926" s="1" t="s">
        <v>2302</v>
      </c>
      <c r="D926" s="1" t="s">
        <v>2939</v>
      </c>
      <c r="E926" s="1" t="s">
        <v>2667</v>
      </c>
      <c r="F926" s="1" t="str">
        <f>"53744    "</f>
        <v xml:space="preserve">53744    </v>
      </c>
      <c r="G926" s="1" t="str">
        <f>"6086621232"</f>
        <v>6086621232</v>
      </c>
      <c r="H926" s="1" t="s">
        <v>2637</v>
      </c>
    </row>
    <row r="927" spans="1:8" x14ac:dyDescent="0.25">
      <c r="A927" s="1" t="str">
        <f>"359  "</f>
        <v xml:space="preserve">359  </v>
      </c>
      <c r="B927" s="1" t="s">
        <v>2675</v>
      </c>
      <c r="C927" s="1" t="str">
        <f>"411 W. CHAPEL HILL STREET                         "</f>
        <v xml:space="preserve">411 W. CHAPEL HILL STREET                         </v>
      </c>
      <c r="D927" s="1" t="s">
        <v>2676</v>
      </c>
      <c r="E927" s="1" t="s">
        <v>2677</v>
      </c>
      <c r="F927" s="1" t="str">
        <f>"27701    "</f>
        <v xml:space="preserve">27701    </v>
      </c>
      <c r="G927" s="1" t="str">
        <f>"9196829201"</f>
        <v>9196829201</v>
      </c>
      <c r="H927" s="1" t="s">
        <v>2637</v>
      </c>
    </row>
    <row r="928" spans="1:8" x14ac:dyDescent="0.25">
      <c r="A928" s="1" t="str">
        <f>"594  "</f>
        <v xml:space="preserve">594  </v>
      </c>
      <c r="B928" s="1" t="s">
        <v>649</v>
      </c>
      <c r="C928" s="1" t="str">
        <f>"206 EIGHTH STREET                                 "</f>
        <v xml:space="preserve">206 EIGHTH STREET                                 </v>
      </c>
      <c r="D928" s="1" t="s">
        <v>2442</v>
      </c>
      <c r="E928" s="1" t="s">
        <v>3264</v>
      </c>
      <c r="F928" s="1" t="str">
        <f>"50309    "</f>
        <v xml:space="preserve">50309    </v>
      </c>
      <c r="G928" s="1" t="str">
        <f>"5152432131"</f>
        <v>5152432131</v>
      </c>
      <c r="H928" s="1" t="s">
        <v>2688</v>
      </c>
    </row>
    <row r="929" spans="1:8" x14ac:dyDescent="0.25">
      <c r="A929" s="1" t="s">
        <v>329</v>
      </c>
      <c r="B929" s="1" t="s">
        <v>330</v>
      </c>
      <c r="C929" s="1" t="str">
        <f>"2680 GRAND ISLAND BLVD                            "</f>
        <v xml:space="preserve">2680 GRAND ISLAND BLVD                            </v>
      </c>
      <c r="D929" s="1" t="s">
        <v>331</v>
      </c>
      <c r="E929" s="1" t="s">
        <v>2773</v>
      </c>
      <c r="F929" s="1" t="str">
        <f>"140720308"</f>
        <v>140720308</v>
      </c>
      <c r="G929" s="1" t="str">
        <f>"8003333195"</f>
        <v>8003333195</v>
      </c>
      <c r="H929" s="1" t="s">
        <v>2637</v>
      </c>
    </row>
    <row r="930" spans="1:8" x14ac:dyDescent="0.25">
      <c r="A930" s="1" t="s">
        <v>1251</v>
      </c>
      <c r="B930" s="1" t="s">
        <v>1252</v>
      </c>
      <c r="C930" s="1" t="s">
        <v>1253</v>
      </c>
      <c r="D930" s="1" t="s">
        <v>803</v>
      </c>
      <c r="E930" s="1" t="s">
        <v>2677</v>
      </c>
      <c r="F930" s="1" t="str">
        <f>"288013459"</f>
        <v>288013459</v>
      </c>
      <c r="G930" s="1" t="str">
        <f>"8282819000"</f>
        <v>8282819000</v>
      </c>
      <c r="H930" s="1" t="s">
        <v>2760</v>
      </c>
    </row>
    <row r="931" spans="1:8" x14ac:dyDescent="0.25">
      <c r="A931" s="1" t="str">
        <f>"170  "</f>
        <v xml:space="preserve">170  </v>
      </c>
      <c r="B931" s="1" t="s">
        <v>1215</v>
      </c>
      <c r="C931" s="1" t="s">
        <v>1216</v>
      </c>
      <c r="D931" s="1" t="s">
        <v>2067</v>
      </c>
      <c r="E931" s="1" t="s">
        <v>2677</v>
      </c>
      <c r="F931" s="1" t="str">
        <f>"27605    "</f>
        <v xml:space="preserve">27605    </v>
      </c>
      <c r="G931" s="1" t="str">
        <f>"9198318189"</f>
        <v>9198318189</v>
      </c>
      <c r="H931" s="1" t="s">
        <v>2637</v>
      </c>
    </row>
    <row r="932" spans="1:8" x14ac:dyDescent="0.25">
      <c r="A932" s="1" t="str">
        <f>"686  "</f>
        <v xml:space="preserve">686  </v>
      </c>
      <c r="B932" s="1" t="s">
        <v>1545</v>
      </c>
      <c r="C932" s="1" t="str">
        <f>"-                                                 "</f>
        <v xml:space="preserve">-                                                 </v>
      </c>
      <c r="D932" s="1" t="str">
        <f>"-                                      "</f>
        <v xml:space="preserve">-                                      </v>
      </c>
      <c r="E932" s="1" t="str">
        <f>"- "</f>
        <v xml:space="preserve">- </v>
      </c>
      <c r="F932" s="1" t="str">
        <f>"-        "</f>
        <v xml:space="preserve">-        </v>
      </c>
      <c r="G932" s="1" t="s">
        <v>2637</v>
      </c>
      <c r="H932" s="1" t="s">
        <v>2637</v>
      </c>
    </row>
    <row r="933" spans="1:8" x14ac:dyDescent="0.25">
      <c r="A933" s="1" t="str">
        <f>"821  "</f>
        <v xml:space="preserve">821  </v>
      </c>
      <c r="B933" s="1" t="s">
        <v>2124</v>
      </c>
      <c r="C933" s="1" t="s">
        <v>2125</v>
      </c>
      <c r="D933" s="1" t="s">
        <v>2126</v>
      </c>
      <c r="E933" s="1" t="s">
        <v>2127</v>
      </c>
      <c r="F933" s="1" t="str">
        <f>"972084030"</f>
        <v>972084030</v>
      </c>
      <c r="G933" s="1" t="str">
        <f>"8773370650"</f>
        <v>8773370650</v>
      </c>
      <c r="H933" s="1" t="s">
        <v>2688</v>
      </c>
    </row>
    <row r="934" spans="1:8" x14ac:dyDescent="0.25">
      <c r="A934" s="1" t="str">
        <f>"982  "</f>
        <v xml:space="preserve">982  </v>
      </c>
      <c r="B934" s="1" t="s">
        <v>2617</v>
      </c>
      <c r="C934" s="1" t="s">
        <v>2729</v>
      </c>
      <c r="D934" s="1" t="s">
        <v>2730</v>
      </c>
      <c r="E934" s="1" t="s">
        <v>2731</v>
      </c>
      <c r="F934" s="1" t="str">
        <f>"708044036"</f>
        <v>708044036</v>
      </c>
      <c r="G934" s="1" t="str">
        <f>"8002728451"</f>
        <v>8002728451</v>
      </c>
      <c r="H934" s="1" t="s">
        <v>2637</v>
      </c>
    </row>
    <row r="935" spans="1:8" x14ac:dyDescent="0.25">
      <c r="A935" s="1" t="str">
        <f>"591  "</f>
        <v xml:space="preserve">591  </v>
      </c>
      <c r="B935" s="1" t="s">
        <v>1030</v>
      </c>
      <c r="C935" s="1" t="s">
        <v>1031</v>
      </c>
      <c r="D935" s="1" t="s">
        <v>2685</v>
      </c>
      <c r="E935" s="1" t="s">
        <v>2670</v>
      </c>
      <c r="F935" s="1" t="str">
        <f>"64141    "</f>
        <v xml:space="preserve">64141    </v>
      </c>
      <c r="G935" s="1" t="str">
        <f>"8167534900"</f>
        <v>8167534900</v>
      </c>
      <c r="H935" s="1" t="s">
        <v>2637</v>
      </c>
    </row>
    <row r="936" spans="1:8" x14ac:dyDescent="0.25">
      <c r="A936" s="1" t="s">
        <v>846</v>
      </c>
      <c r="B936" s="1" t="s">
        <v>847</v>
      </c>
      <c r="C936" s="1" t="s">
        <v>848</v>
      </c>
      <c r="D936" s="1" t="s">
        <v>2884</v>
      </c>
      <c r="E936" s="1" t="s">
        <v>2885</v>
      </c>
      <c r="F936" s="1" t="str">
        <f>"731541407"</f>
        <v>731541407</v>
      </c>
      <c r="G936" s="1" t="str">
        <f>"8002725466"</f>
        <v>8002725466</v>
      </c>
      <c r="H936" s="1" t="s">
        <v>2637</v>
      </c>
    </row>
    <row r="937" spans="1:8" x14ac:dyDescent="0.25">
      <c r="A937" s="1" t="str">
        <f>"866  "</f>
        <v xml:space="preserve">866  </v>
      </c>
      <c r="B937" s="1" t="s">
        <v>989</v>
      </c>
      <c r="C937" s="1" t="s">
        <v>990</v>
      </c>
      <c r="D937" s="1" t="s">
        <v>2857</v>
      </c>
      <c r="E937" s="1" t="s">
        <v>2858</v>
      </c>
      <c r="F937" s="1" t="str">
        <f>"98227    "</f>
        <v xml:space="preserve">98227    </v>
      </c>
      <c r="G937" s="1" t="str">
        <f>"3607349888"</f>
        <v>3607349888</v>
      </c>
      <c r="H937" s="1" t="s">
        <v>2637</v>
      </c>
    </row>
    <row r="938" spans="1:8" x14ac:dyDescent="0.25">
      <c r="A938" s="1" t="str">
        <f>"353  "</f>
        <v xml:space="preserve">353  </v>
      </c>
      <c r="B938" s="1" t="s">
        <v>1453</v>
      </c>
      <c r="C938" s="1" t="s">
        <v>1454</v>
      </c>
      <c r="D938" s="1" t="s">
        <v>1455</v>
      </c>
      <c r="E938" s="1" t="s">
        <v>2660</v>
      </c>
      <c r="F938" s="1" t="str">
        <f>"29419    "</f>
        <v xml:space="preserve">29419    </v>
      </c>
      <c r="G938" s="1" t="str">
        <f>"8003149010"</f>
        <v>8003149010</v>
      </c>
      <c r="H938" s="1" t="s">
        <v>2688</v>
      </c>
    </row>
    <row r="939" spans="1:8" x14ac:dyDescent="0.25">
      <c r="A939" s="1" t="str">
        <f>"583  "</f>
        <v xml:space="preserve">583  </v>
      </c>
      <c r="B939" s="1" t="s">
        <v>12</v>
      </c>
      <c r="C939" s="1" t="s">
        <v>13</v>
      </c>
      <c r="D939" s="1" t="s">
        <v>2923</v>
      </c>
      <c r="E939" s="1" t="s">
        <v>2714</v>
      </c>
      <c r="F939" s="1" t="str">
        <f>"43216    "</f>
        <v xml:space="preserve">43216    </v>
      </c>
      <c r="G939" s="1" t="str">
        <f>"8008246796"</f>
        <v>8008246796</v>
      </c>
      <c r="H939" s="1" t="s">
        <v>14</v>
      </c>
    </row>
    <row r="940" spans="1:8" x14ac:dyDescent="0.25">
      <c r="A940" s="1" t="str">
        <f>"850  "</f>
        <v xml:space="preserve">850  </v>
      </c>
      <c r="B940" s="1" t="s">
        <v>2581</v>
      </c>
      <c r="C940" s="1" t="s">
        <v>2582</v>
      </c>
      <c r="D940" s="1" t="s">
        <v>2726</v>
      </c>
      <c r="E940" s="1" t="s">
        <v>2647</v>
      </c>
      <c r="F940" s="1" t="str">
        <f>"217050934"</f>
        <v>217050934</v>
      </c>
      <c r="G940" s="1" t="str">
        <f>"8003423289"</f>
        <v>8003423289</v>
      </c>
      <c r="H940" s="1" t="s">
        <v>2688</v>
      </c>
    </row>
    <row r="941" spans="1:8" x14ac:dyDescent="0.25">
      <c r="A941" s="1" t="str">
        <f>"807  "</f>
        <v xml:space="preserve">807  </v>
      </c>
      <c r="B941" s="1" t="s">
        <v>1273</v>
      </c>
      <c r="C941" s="1" t="s">
        <v>1274</v>
      </c>
      <c r="D941" s="1" t="s">
        <v>3029</v>
      </c>
      <c r="E941" s="1" t="s">
        <v>2644</v>
      </c>
      <c r="F941" s="1" t="str">
        <f>"460071199"</f>
        <v>460071199</v>
      </c>
      <c r="G941" s="1" t="str">
        <f>"8002291199"</f>
        <v>8002291199</v>
      </c>
      <c r="H941" s="1" t="s">
        <v>2637</v>
      </c>
    </row>
    <row r="942" spans="1:8" x14ac:dyDescent="0.25">
      <c r="A942" s="1" t="str">
        <f>"896  "</f>
        <v xml:space="preserve">896  </v>
      </c>
      <c r="B942" s="1" t="s">
        <v>3271</v>
      </c>
      <c r="C942" s="1" t="str">
        <f>"4 TERRY DRIVE, STE 1                              "</f>
        <v xml:space="preserve">4 TERRY DRIVE, STE 1                              </v>
      </c>
      <c r="D942" s="1" t="s">
        <v>3272</v>
      </c>
      <c r="E942" s="1" t="s">
        <v>2697</v>
      </c>
      <c r="F942" s="1" t="str">
        <f>"18940    "</f>
        <v xml:space="preserve">18940    </v>
      </c>
      <c r="G942" s="1" t="str">
        <f>"8004828770"</f>
        <v>8004828770</v>
      </c>
      <c r="H942" s="1" t="s">
        <v>2637</v>
      </c>
    </row>
    <row r="943" spans="1:8" x14ac:dyDescent="0.25">
      <c r="A943" s="1" t="str">
        <f>"891  "</f>
        <v xml:space="preserve">891  </v>
      </c>
      <c r="B943" s="1" t="s">
        <v>2251</v>
      </c>
      <c r="C943" s="1" t="str">
        <f>"4 TAFT COURT                                      "</f>
        <v xml:space="preserve">4 TAFT COURT                                      </v>
      </c>
      <c r="D943" s="1" t="s">
        <v>2755</v>
      </c>
      <c r="E943" s="1" t="s">
        <v>2647</v>
      </c>
      <c r="F943" s="1" t="str">
        <f>"20850    "</f>
        <v xml:space="preserve">20850    </v>
      </c>
      <c r="G943" s="1" t="str">
        <f>"8003438205"</f>
        <v>8003438205</v>
      </c>
      <c r="H943" s="1" t="s">
        <v>2637</v>
      </c>
    </row>
    <row r="944" spans="1:8" x14ac:dyDescent="0.25">
      <c r="A944" s="1" t="str">
        <f>"880  "</f>
        <v xml:space="preserve">880  </v>
      </c>
      <c r="B944" s="1" t="s">
        <v>918</v>
      </c>
      <c r="C944" s="1" t="s">
        <v>919</v>
      </c>
      <c r="D944" s="1" t="s">
        <v>2710</v>
      </c>
      <c r="E944" s="1" t="s">
        <v>2660</v>
      </c>
      <c r="F944" s="1" t="str">
        <f>"29602    "</f>
        <v xml:space="preserve">29602    </v>
      </c>
      <c r="G944" s="1" t="str">
        <f>"8642134992"</f>
        <v>8642134992</v>
      </c>
      <c r="H944" s="1" t="s">
        <v>2637</v>
      </c>
    </row>
    <row r="945" spans="1:8" x14ac:dyDescent="0.25">
      <c r="A945" s="1" t="s">
        <v>248</v>
      </c>
      <c r="B945" s="1" t="s">
        <v>249</v>
      </c>
      <c r="C945" s="1" t="s">
        <v>250</v>
      </c>
      <c r="D945" s="1" t="s">
        <v>251</v>
      </c>
      <c r="E945" s="1" t="s">
        <v>2944</v>
      </c>
      <c r="F945" s="1" t="str">
        <f>"71903    "</f>
        <v xml:space="preserve">71903    </v>
      </c>
      <c r="G945" s="1" t="str">
        <f>"8007887871"</f>
        <v>8007887871</v>
      </c>
      <c r="H945" s="1" t="s">
        <v>252</v>
      </c>
    </row>
    <row r="946" spans="1:8" x14ac:dyDescent="0.25">
      <c r="A946" s="1" t="str">
        <f>"687  "</f>
        <v xml:space="preserve">687  </v>
      </c>
      <c r="B946" s="1" t="s">
        <v>1978</v>
      </c>
      <c r="C946" s="1" t="str">
        <f>"-                                                 "</f>
        <v xml:space="preserve">-                                                 </v>
      </c>
      <c r="D946" s="1" t="str">
        <f>"-                                      "</f>
        <v xml:space="preserve">-                                      </v>
      </c>
      <c r="E946" s="1" t="str">
        <f>"- "</f>
        <v xml:space="preserve">- </v>
      </c>
      <c r="F946" s="1" t="str">
        <f>"-        "</f>
        <v xml:space="preserve">-        </v>
      </c>
      <c r="G946" s="1" t="s">
        <v>2637</v>
      </c>
      <c r="H946" s="1" t="s">
        <v>2637</v>
      </c>
    </row>
    <row r="947" spans="1:8" x14ac:dyDescent="0.25">
      <c r="A947" s="1" t="str">
        <f>"603  "</f>
        <v xml:space="preserve">603  </v>
      </c>
      <c r="B947" s="1" t="s">
        <v>2965</v>
      </c>
      <c r="C947" s="1" t="s">
        <v>2637</v>
      </c>
      <c r="D947" s="1" t="s">
        <v>2637</v>
      </c>
      <c r="E947" s="1" t="s">
        <v>2660</v>
      </c>
      <c r="F947" s="1" t="s">
        <v>2637</v>
      </c>
      <c r="G947" s="1" t="s">
        <v>2637</v>
      </c>
      <c r="H947" s="1" t="s">
        <v>2637</v>
      </c>
    </row>
    <row r="948" spans="1:8" x14ac:dyDescent="0.25">
      <c r="A948" s="1" t="str">
        <f>"624  "</f>
        <v xml:space="preserve">624  </v>
      </c>
      <c r="B948" s="1" t="s">
        <v>703</v>
      </c>
      <c r="C948" s="1" t="s">
        <v>2637</v>
      </c>
      <c r="D948" s="1" t="s">
        <v>2637</v>
      </c>
      <c r="E948" s="1" t="s">
        <v>2637</v>
      </c>
      <c r="F948" s="1" t="s">
        <v>2637</v>
      </c>
      <c r="G948" s="1" t="s">
        <v>2637</v>
      </c>
      <c r="H948" s="1" t="s">
        <v>2637</v>
      </c>
    </row>
    <row r="949" spans="1:8" x14ac:dyDescent="0.25">
      <c r="A949" s="1" t="str">
        <f>"696  "</f>
        <v xml:space="preserve">696  </v>
      </c>
      <c r="B949" s="1" t="s">
        <v>212</v>
      </c>
      <c r="C949" s="1" t="str">
        <f>"-                                                 "</f>
        <v xml:space="preserve">-                                                 </v>
      </c>
      <c r="D949" s="1" t="str">
        <f>"-                                      "</f>
        <v xml:space="preserve">-                                      </v>
      </c>
      <c r="E949" s="1" t="str">
        <f>"- "</f>
        <v xml:space="preserve">- </v>
      </c>
      <c r="F949" s="1" t="str">
        <f>"-        "</f>
        <v xml:space="preserve">-        </v>
      </c>
      <c r="G949" s="1" t="s">
        <v>2637</v>
      </c>
      <c r="H949" s="1" t="s">
        <v>2637</v>
      </c>
    </row>
    <row r="950" spans="1:8" x14ac:dyDescent="0.25">
      <c r="A950" s="1" t="str">
        <f>"697  "</f>
        <v xml:space="preserve">697  </v>
      </c>
      <c r="B950" s="1" t="s">
        <v>1662</v>
      </c>
      <c r="C950" s="1" t="str">
        <f>"-                                                 "</f>
        <v xml:space="preserve">-                                                 </v>
      </c>
      <c r="D950" s="1" t="str">
        <f>"-                                      "</f>
        <v xml:space="preserve">-                                      </v>
      </c>
      <c r="E950" s="1" t="str">
        <f>"- "</f>
        <v xml:space="preserve">- </v>
      </c>
      <c r="F950" s="1" t="str">
        <f>"-        "</f>
        <v xml:space="preserve">-        </v>
      </c>
      <c r="G950" s="1" t="s">
        <v>2637</v>
      </c>
      <c r="H950" s="1" t="s">
        <v>2637</v>
      </c>
    </row>
    <row r="951" spans="1:8" x14ac:dyDescent="0.25">
      <c r="A951" s="1" t="str">
        <f>"698  "</f>
        <v xml:space="preserve">698  </v>
      </c>
      <c r="B951" s="1" t="s">
        <v>704</v>
      </c>
      <c r="C951" s="1" t="str">
        <f>"-                                                 "</f>
        <v xml:space="preserve">-                                                 </v>
      </c>
      <c r="D951" s="1" t="str">
        <f>"-                                      "</f>
        <v xml:space="preserve">-                                      </v>
      </c>
      <c r="E951" s="1" t="str">
        <f>"- "</f>
        <v xml:space="preserve">- </v>
      </c>
      <c r="F951" s="1" t="str">
        <f>"-        "</f>
        <v xml:space="preserve">-        </v>
      </c>
      <c r="G951" s="1" t="s">
        <v>2637</v>
      </c>
      <c r="H951" s="1" t="s">
        <v>2637</v>
      </c>
    </row>
    <row r="952" spans="1:8" x14ac:dyDescent="0.25">
      <c r="A952" s="1" t="str">
        <f>"963  "</f>
        <v xml:space="preserve">963  </v>
      </c>
      <c r="B952" s="1" t="s">
        <v>3223</v>
      </c>
      <c r="C952" s="1" t="s">
        <v>3224</v>
      </c>
      <c r="D952" s="1" t="s">
        <v>3225</v>
      </c>
      <c r="E952" s="1" t="s">
        <v>3226</v>
      </c>
      <c r="F952" s="1" t="str">
        <f>"030612083"</f>
        <v>030612083</v>
      </c>
      <c r="G952" s="1" t="str">
        <f>"8882014111"</f>
        <v>8882014111</v>
      </c>
      <c r="H952" s="1" t="s">
        <v>2637</v>
      </c>
    </row>
    <row r="953" spans="1:8" x14ac:dyDescent="0.25">
      <c r="A953" s="1" t="str">
        <f>"215  "</f>
        <v xml:space="preserve">215  </v>
      </c>
      <c r="B953" s="1" t="s">
        <v>2591</v>
      </c>
      <c r="C953" s="1" t="s">
        <v>2592</v>
      </c>
      <c r="D953" s="1" t="s">
        <v>2939</v>
      </c>
      <c r="E953" s="1" t="s">
        <v>2667</v>
      </c>
      <c r="F953" s="1" t="str">
        <f>"53744    "</f>
        <v xml:space="preserve">53744    </v>
      </c>
      <c r="G953" s="1" t="str">
        <f>"8774693073"</f>
        <v>8774693073</v>
      </c>
      <c r="H953" s="1" t="s">
        <v>2637</v>
      </c>
    </row>
    <row r="954" spans="1:8" x14ac:dyDescent="0.25">
      <c r="A954" s="1" t="s">
        <v>3235</v>
      </c>
      <c r="B954" s="1" t="s">
        <v>3236</v>
      </c>
      <c r="C954" s="1" t="s">
        <v>3237</v>
      </c>
      <c r="D954" s="1" t="s">
        <v>3238</v>
      </c>
      <c r="E954" s="1" t="s">
        <v>2952</v>
      </c>
      <c r="F954" s="1" t="str">
        <f>"06601    "</f>
        <v xml:space="preserve">06601    </v>
      </c>
      <c r="G954" s="1" t="str">
        <f>"8002341228"</f>
        <v>8002341228</v>
      </c>
      <c r="H954" s="1" t="s">
        <v>2795</v>
      </c>
    </row>
    <row r="955" spans="1:8" x14ac:dyDescent="0.25">
      <c r="A955" s="1" t="str">
        <f>"370  "</f>
        <v xml:space="preserve">370  </v>
      </c>
      <c r="B955" s="1" t="s">
        <v>1105</v>
      </c>
      <c r="C955" s="1" t="s">
        <v>1106</v>
      </c>
      <c r="D955" s="1" t="s">
        <v>1107</v>
      </c>
      <c r="E955" s="1" t="s">
        <v>2674</v>
      </c>
      <c r="F955" s="1" t="str">
        <f>"84109    "</f>
        <v xml:space="preserve">84109    </v>
      </c>
      <c r="G955" s="1" t="str">
        <f>"8774740605"</f>
        <v>8774740605</v>
      </c>
      <c r="H955" s="1" t="s">
        <v>1108</v>
      </c>
    </row>
    <row r="956" spans="1:8" x14ac:dyDescent="0.25">
      <c r="A956" s="1" t="str">
        <f>"394  "</f>
        <v xml:space="preserve">394  </v>
      </c>
      <c r="B956" s="1" t="s">
        <v>1105</v>
      </c>
      <c r="C956" s="1" t="s">
        <v>1106</v>
      </c>
      <c r="D956" s="1" t="s">
        <v>2673</v>
      </c>
      <c r="E956" s="1" t="s">
        <v>2674</v>
      </c>
      <c r="F956" s="1" t="str">
        <f>"84109    "</f>
        <v xml:space="preserve">84109    </v>
      </c>
      <c r="G956" s="1" t="str">
        <f>"8774740605"</f>
        <v>8774740605</v>
      </c>
      <c r="H956" s="1" t="s">
        <v>3218</v>
      </c>
    </row>
    <row r="957" spans="1:8" x14ac:dyDescent="0.25">
      <c r="A957" s="1" t="str">
        <f>"771  "</f>
        <v xml:space="preserve">771  </v>
      </c>
      <c r="B957" s="1" t="s">
        <v>1867</v>
      </c>
      <c r="C957" s="1" t="s">
        <v>1868</v>
      </c>
      <c r="D957" s="1" t="s">
        <v>1869</v>
      </c>
      <c r="E957" s="1" t="s">
        <v>2636</v>
      </c>
      <c r="F957" s="1" t="str">
        <f>"761828009"</f>
        <v>761828009</v>
      </c>
      <c r="G957" s="1" t="str">
        <f>"8176566040"</f>
        <v>8176566040</v>
      </c>
      <c r="H957" s="1" t="s">
        <v>1870</v>
      </c>
    </row>
    <row r="958" spans="1:8" x14ac:dyDescent="0.25">
      <c r="A958" s="1" t="str">
        <f>"784  "</f>
        <v xml:space="preserve">784  </v>
      </c>
      <c r="B958" s="1" t="s">
        <v>928</v>
      </c>
      <c r="C958" s="1" t="s">
        <v>929</v>
      </c>
      <c r="D958" s="1" t="s">
        <v>3257</v>
      </c>
      <c r="E958" s="1" t="s">
        <v>2832</v>
      </c>
      <c r="F958" s="1" t="str">
        <f>"328620123"</f>
        <v>328620123</v>
      </c>
      <c r="G958" s="1" t="str">
        <f>"8007766070"</f>
        <v>8007766070</v>
      </c>
      <c r="H958" s="1" t="s">
        <v>2688</v>
      </c>
    </row>
    <row r="959" spans="1:8" x14ac:dyDescent="0.25">
      <c r="A959" s="1" t="str">
        <f>"399  "</f>
        <v xml:space="preserve">399  </v>
      </c>
      <c r="B959" s="1" t="s">
        <v>1395</v>
      </c>
      <c r="C959" s="1" t="s">
        <v>1396</v>
      </c>
      <c r="D959" s="1" t="s">
        <v>2808</v>
      </c>
      <c r="E959" s="1" t="s">
        <v>2809</v>
      </c>
      <c r="F959" s="1" t="str">
        <f>"85067    "</f>
        <v xml:space="preserve">85067    </v>
      </c>
      <c r="G959" s="1" t="str">
        <f>"8007332285"</f>
        <v>8007332285</v>
      </c>
      <c r="H959" s="1" t="s">
        <v>2637</v>
      </c>
    </row>
    <row r="960" spans="1:8" x14ac:dyDescent="0.25">
      <c r="A960" s="1" t="str">
        <f>"254  "</f>
        <v xml:space="preserve">254  </v>
      </c>
      <c r="B960" s="1" t="s">
        <v>2661</v>
      </c>
      <c r="C960" s="1" t="str">
        <f>"700 NEWPORT CENTER DRIVE                          "</f>
        <v xml:space="preserve">700 NEWPORT CENTER DRIVE                          </v>
      </c>
      <c r="D960" s="1" t="s">
        <v>2662</v>
      </c>
      <c r="E960" s="1" t="s">
        <v>2663</v>
      </c>
      <c r="F960" s="1" t="str">
        <f>"92660    "</f>
        <v xml:space="preserve">92660    </v>
      </c>
      <c r="G960" s="1" t="str">
        <f>"8004512513"</f>
        <v>8004512513</v>
      </c>
      <c r="H960" s="1" t="s">
        <v>2637</v>
      </c>
    </row>
    <row r="961" spans="1:8" x14ac:dyDescent="0.25">
      <c r="A961" s="1" t="s">
        <v>671</v>
      </c>
      <c r="B961" s="1" t="s">
        <v>672</v>
      </c>
      <c r="C961" s="1" t="s">
        <v>2517</v>
      </c>
      <c r="D961" s="1" t="s">
        <v>673</v>
      </c>
      <c r="E961" s="1" t="s">
        <v>2127</v>
      </c>
      <c r="F961" s="1" t="str">
        <f>"97401    "</f>
        <v xml:space="preserve">97401    </v>
      </c>
      <c r="G961" s="1" t="str">
        <f>"8006246052"</f>
        <v>8006246052</v>
      </c>
      <c r="H961" s="1" t="s">
        <v>2637</v>
      </c>
    </row>
    <row r="962" spans="1:8" x14ac:dyDescent="0.25">
      <c r="A962" s="1" t="str">
        <f>"747  "</f>
        <v xml:space="preserve">747  </v>
      </c>
      <c r="B962" s="1" t="s">
        <v>994</v>
      </c>
      <c r="C962" s="1" t="s">
        <v>995</v>
      </c>
      <c r="D962" s="1" t="s">
        <v>2404</v>
      </c>
      <c r="E962" s="1" t="s">
        <v>2663</v>
      </c>
      <c r="F962" s="1" t="str">
        <f>"90630    "</f>
        <v xml:space="preserve">90630    </v>
      </c>
      <c r="G962" s="1" t="str">
        <f>"8663169776"</f>
        <v>8663169776</v>
      </c>
      <c r="H962" s="1" t="s">
        <v>2688</v>
      </c>
    </row>
    <row r="963" spans="1:8" x14ac:dyDescent="0.25">
      <c r="A963" s="1" t="str">
        <f>"787  "</f>
        <v xml:space="preserve">787  </v>
      </c>
      <c r="B963" s="1" t="s">
        <v>2402</v>
      </c>
      <c r="C963" s="1" t="s">
        <v>2403</v>
      </c>
      <c r="D963" s="1" t="s">
        <v>2404</v>
      </c>
      <c r="E963" s="1" t="s">
        <v>2663</v>
      </c>
      <c r="F963" s="1" t="str">
        <f>"906300072"</f>
        <v>906300072</v>
      </c>
      <c r="G963" s="1" t="str">
        <f>"8008513802"</f>
        <v>8008513802</v>
      </c>
      <c r="H963" s="1" t="s">
        <v>2637</v>
      </c>
    </row>
    <row r="964" spans="1:8" x14ac:dyDescent="0.25">
      <c r="A964" s="1" t="str">
        <f>"766  "</f>
        <v xml:space="preserve">766  </v>
      </c>
      <c r="B964" s="1" t="s">
        <v>2606</v>
      </c>
      <c r="C964" s="1" t="s">
        <v>2607</v>
      </c>
      <c r="D964" s="1" t="s">
        <v>2680</v>
      </c>
      <c r="E964" s="1" t="s">
        <v>2681</v>
      </c>
      <c r="F964" s="1" t="str">
        <f>"31402    "</f>
        <v xml:space="preserve">31402    </v>
      </c>
      <c r="G964" s="1" t="str">
        <f>"9122346621"</f>
        <v>9122346621</v>
      </c>
      <c r="H964" s="1" t="s">
        <v>2637</v>
      </c>
    </row>
    <row r="965" spans="1:8" x14ac:dyDescent="0.25">
      <c r="A965" s="1" t="str">
        <f>"766DN"</f>
        <v>766DN</v>
      </c>
      <c r="B965" s="1" t="s">
        <v>2606</v>
      </c>
      <c r="C965" s="1" t="s">
        <v>2607</v>
      </c>
      <c r="D965" s="1" t="s">
        <v>2680</v>
      </c>
      <c r="E965" s="1" t="s">
        <v>2681</v>
      </c>
      <c r="F965" s="1" t="str">
        <f>"31402    "</f>
        <v xml:space="preserve">31402    </v>
      </c>
      <c r="G965" s="1" t="str">
        <f>"9122346621"</f>
        <v>9122346621</v>
      </c>
      <c r="H965" s="1" t="s">
        <v>2637</v>
      </c>
    </row>
    <row r="966" spans="1:8" x14ac:dyDescent="0.25">
      <c r="A966" s="1" t="s">
        <v>1413</v>
      </c>
      <c r="B966" s="1" t="s">
        <v>1414</v>
      </c>
      <c r="C966" s="1" t="s">
        <v>1415</v>
      </c>
      <c r="D966" s="1" t="s">
        <v>2871</v>
      </c>
      <c r="E966" s="1" t="s">
        <v>2636</v>
      </c>
      <c r="F966" s="1" t="str">
        <f>"75261    "</f>
        <v xml:space="preserve">75261    </v>
      </c>
      <c r="G966" s="1" t="str">
        <f>"8006949888"</f>
        <v>8006949888</v>
      </c>
      <c r="H966" s="1" t="s">
        <v>1416</v>
      </c>
    </row>
    <row r="967" spans="1:8" x14ac:dyDescent="0.25">
      <c r="A967" s="1" t="str">
        <f>"255  "</f>
        <v xml:space="preserve">255  </v>
      </c>
      <c r="B967" s="1" t="s">
        <v>1749</v>
      </c>
      <c r="C967" s="1" t="s">
        <v>1750</v>
      </c>
      <c r="D967" s="1" t="s">
        <v>1373</v>
      </c>
      <c r="E967" s="1" t="s">
        <v>2731</v>
      </c>
      <c r="F967" s="1" t="str">
        <f>"70160    "</f>
        <v xml:space="preserve">70160    </v>
      </c>
      <c r="G967" s="1" t="str">
        <f>"5045661300"</f>
        <v>5045661300</v>
      </c>
      <c r="H967" s="1" t="s">
        <v>2637</v>
      </c>
    </row>
    <row r="968" spans="1:8" x14ac:dyDescent="0.25">
      <c r="A968" s="1" t="str">
        <f>"976  "</f>
        <v xml:space="preserve">976  </v>
      </c>
      <c r="B968" s="1" t="s">
        <v>3285</v>
      </c>
      <c r="C968" s="1" t="s">
        <v>3286</v>
      </c>
      <c r="D968" s="1" t="s">
        <v>2923</v>
      </c>
      <c r="E968" s="1" t="s">
        <v>2681</v>
      </c>
      <c r="F968" s="1" t="str">
        <f>"31917    "</f>
        <v xml:space="preserve">31917    </v>
      </c>
      <c r="G968" s="1" t="str">
        <f>"7062776710"</f>
        <v>7062776710</v>
      </c>
      <c r="H968" s="1" t="s">
        <v>2637</v>
      </c>
    </row>
    <row r="969" spans="1:8" x14ac:dyDescent="0.25">
      <c r="A969" s="1" t="str">
        <f>"293  "</f>
        <v xml:space="preserve">293  </v>
      </c>
      <c r="B969" s="1" t="s">
        <v>2774</v>
      </c>
      <c r="C969" s="1" t="s">
        <v>2775</v>
      </c>
      <c r="D969" s="1" t="s">
        <v>2776</v>
      </c>
      <c r="E969" s="1" t="s">
        <v>2714</v>
      </c>
      <c r="F969" s="1" t="str">
        <f>"43697    "</f>
        <v xml:space="preserve">43697    </v>
      </c>
      <c r="G969" s="1" t="str">
        <f>"8888912564"</f>
        <v>8888912564</v>
      </c>
      <c r="H969" s="1" t="s">
        <v>2637</v>
      </c>
    </row>
    <row r="970" spans="1:8" x14ac:dyDescent="0.25">
      <c r="A970" s="1" t="s">
        <v>521</v>
      </c>
      <c r="B970" s="1" t="s">
        <v>522</v>
      </c>
      <c r="C970" s="1" t="s">
        <v>523</v>
      </c>
      <c r="D970" s="1" t="s">
        <v>524</v>
      </c>
      <c r="E970" s="1" t="s">
        <v>2809</v>
      </c>
      <c r="F970" s="1" t="str">
        <f>"85260    "</f>
        <v xml:space="preserve">85260    </v>
      </c>
      <c r="G970" s="1" t="str">
        <f>"8006594112"</f>
        <v>8006594112</v>
      </c>
      <c r="H970" s="1" t="s">
        <v>2637</v>
      </c>
    </row>
    <row r="971" spans="1:8" x14ac:dyDescent="0.25">
      <c r="A971" s="1" t="str">
        <f>"890  "</f>
        <v xml:space="preserve">890  </v>
      </c>
      <c r="B971" s="1" t="s">
        <v>345</v>
      </c>
      <c r="C971" s="1" t="s">
        <v>346</v>
      </c>
      <c r="D971" s="1" t="s">
        <v>2036</v>
      </c>
      <c r="E971" s="1" t="s">
        <v>2677</v>
      </c>
      <c r="F971" s="1" t="str">
        <f>"271167368"</f>
        <v>271167368</v>
      </c>
      <c r="G971" s="1" t="str">
        <f>"8009425695"</f>
        <v>8009425695</v>
      </c>
      <c r="H971" s="1" t="s">
        <v>2637</v>
      </c>
    </row>
    <row r="972" spans="1:8" x14ac:dyDescent="0.25">
      <c r="A972" s="1" t="str">
        <f>"172  "</f>
        <v xml:space="preserve">172  </v>
      </c>
      <c r="B972" s="1" t="s">
        <v>31</v>
      </c>
      <c r="C972" s="1" t="s">
        <v>32</v>
      </c>
      <c r="D972" s="1" t="s">
        <v>33</v>
      </c>
      <c r="E972" s="1" t="s">
        <v>3118</v>
      </c>
      <c r="F972" s="1" t="str">
        <f>"016150118"</f>
        <v>016150118</v>
      </c>
      <c r="G972" s="1" t="str">
        <f>"5087994441"</f>
        <v>5087994441</v>
      </c>
      <c r="H972" s="1" t="s">
        <v>2637</v>
      </c>
    </row>
    <row r="973" spans="1:8" x14ac:dyDescent="0.25">
      <c r="A973" s="1" t="s">
        <v>883</v>
      </c>
      <c r="B973" s="1" t="s">
        <v>884</v>
      </c>
      <c r="C973" s="1" t="s">
        <v>885</v>
      </c>
      <c r="D973" s="1" t="s">
        <v>2910</v>
      </c>
      <c r="E973" s="1" t="s">
        <v>2681</v>
      </c>
      <c r="F973" s="1" t="str">
        <f>"31799    "</f>
        <v xml:space="preserve">31799    </v>
      </c>
      <c r="G973" s="1" t="str">
        <f>"8884261937"</f>
        <v>8884261937</v>
      </c>
      <c r="H973" s="1" t="s">
        <v>2688</v>
      </c>
    </row>
    <row r="974" spans="1:8" x14ac:dyDescent="0.25">
      <c r="A974" s="1" t="str">
        <f>"363  "</f>
        <v xml:space="preserve">363  </v>
      </c>
      <c r="B974" s="1" t="s">
        <v>1725</v>
      </c>
      <c r="C974" s="1" t="s">
        <v>1726</v>
      </c>
      <c r="D974" s="1" t="s">
        <v>3294</v>
      </c>
      <c r="E974" s="1" t="s">
        <v>2660</v>
      </c>
      <c r="F974" s="1" t="str">
        <f>"29503    "</f>
        <v xml:space="preserve">29503    </v>
      </c>
      <c r="G974" s="1" t="str">
        <f>"8886226001"</f>
        <v>8886226001</v>
      </c>
      <c r="H974" s="1" t="s">
        <v>1727</v>
      </c>
    </row>
    <row r="975" spans="1:8" x14ac:dyDescent="0.25">
      <c r="A975" s="1" t="str">
        <f>"538  "</f>
        <v xml:space="preserve">538  </v>
      </c>
      <c r="B975" s="1" t="s">
        <v>784</v>
      </c>
      <c r="C975" s="1" t="s">
        <v>785</v>
      </c>
      <c r="D975" s="1" t="s">
        <v>2717</v>
      </c>
      <c r="E975" s="1" t="s">
        <v>2681</v>
      </c>
      <c r="F975" s="1" t="str">
        <f>"303581535"</f>
        <v>303581535</v>
      </c>
      <c r="G975" s="1" t="str">
        <f>"8004441535"</f>
        <v>8004441535</v>
      </c>
      <c r="H975" s="1" t="s">
        <v>2688</v>
      </c>
    </row>
    <row r="976" spans="1:8" x14ac:dyDescent="0.25">
      <c r="A976" s="1" t="s">
        <v>276</v>
      </c>
      <c r="B976" s="1" t="s">
        <v>277</v>
      </c>
      <c r="C976" s="1" t="s">
        <v>2216</v>
      </c>
      <c r="D976" s="1" t="s">
        <v>3188</v>
      </c>
      <c r="E976" s="1" t="s">
        <v>2832</v>
      </c>
      <c r="F976" s="1" t="str">
        <f>"32591    "</f>
        <v xml:space="preserve">32591    </v>
      </c>
      <c r="G976" s="1" t="str">
        <f>"8006357418"</f>
        <v>8006357418</v>
      </c>
      <c r="H976" s="1" t="s">
        <v>2637</v>
      </c>
    </row>
    <row r="977" spans="1:8" x14ac:dyDescent="0.25">
      <c r="A977" s="1" t="str">
        <f>"805  "</f>
        <v xml:space="preserve">805  </v>
      </c>
      <c r="B977" s="1" t="s">
        <v>2215</v>
      </c>
      <c r="C977" s="1" t="s">
        <v>2216</v>
      </c>
      <c r="D977" s="1" t="s">
        <v>3188</v>
      </c>
      <c r="E977" s="1" t="s">
        <v>2832</v>
      </c>
      <c r="F977" s="1" t="str">
        <f>"325910130"</f>
        <v>325910130</v>
      </c>
      <c r="G977" s="1" t="str">
        <f>"8006357418"</f>
        <v>8006357418</v>
      </c>
      <c r="H977" s="1" t="s">
        <v>2688</v>
      </c>
    </row>
    <row r="978" spans="1:8" x14ac:dyDescent="0.25">
      <c r="A978" s="1" t="str">
        <f>"182  "</f>
        <v xml:space="preserve">182  </v>
      </c>
      <c r="B978" s="1" t="s">
        <v>1181</v>
      </c>
      <c r="C978" s="1" t="s">
        <v>1182</v>
      </c>
      <c r="D978" s="1" t="s">
        <v>1183</v>
      </c>
      <c r="E978" s="1" t="s">
        <v>2697</v>
      </c>
      <c r="F978" s="1" t="str">
        <f>"181057066"</f>
        <v>181057066</v>
      </c>
      <c r="G978" s="1" t="str">
        <f>"8003620700"</f>
        <v>8003620700</v>
      </c>
      <c r="H978" s="1" t="s">
        <v>2648</v>
      </c>
    </row>
    <row r="979" spans="1:8" x14ac:dyDescent="0.25">
      <c r="A979" s="1" t="s">
        <v>2329</v>
      </c>
      <c r="B979" s="1" t="s">
        <v>2221</v>
      </c>
      <c r="C979" s="1" t="s">
        <v>2222</v>
      </c>
      <c r="D979" s="1" t="s">
        <v>2058</v>
      </c>
      <c r="E979" s="1" t="s">
        <v>2677</v>
      </c>
      <c r="F979" s="1" t="str">
        <f>"27417    "</f>
        <v xml:space="preserve">27417    </v>
      </c>
      <c r="G979" s="1" t="str">
        <f>"3366659400"</f>
        <v>3366659400</v>
      </c>
      <c r="H979" s="1" t="s">
        <v>2637</v>
      </c>
    </row>
    <row r="980" spans="1:8" x14ac:dyDescent="0.25">
      <c r="A980" s="1" t="s">
        <v>2220</v>
      </c>
      <c r="B980" s="1" t="s">
        <v>2221</v>
      </c>
      <c r="C980" s="1" t="s">
        <v>2222</v>
      </c>
      <c r="D980" s="1" t="s">
        <v>2058</v>
      </c>
      <c r="E980" s="1" t="s">
        <v>2677</v>
      </c>
      <c r="F980" s="1" t="str">
        <f>"27417    "</f>
        <v xml:space="preserve">27417    </v>
      </c>
      <c r="G980" s="1" t="str">
        <f>"3366659400"</f>
        <v>3366659400</v>
      </c>
      <c r="H980" s="1" t="s">
        <v>2637</v>
      </c>
    </row>
    <row r="981" spans="1:8" x14ac:dyDescent="0.25">
      <c r="A981" s="1" t="s">
        <v>1595</v>
      </c>
      <c r="B981" s="1" t="s">
        <v>1596</v>
      </c>
      <c r="C981" s="1" t="s">
        <v>1597</v>
      </c>
      <c r="D981" s="1" t="s">
        <v>1598</v>
      </c>
      <c r="E981" s="1" t="s">
        <v>2697</v>
      </c>
      <c r="F981" s="1" t="str">
        <f>"17089    "</f>
        <v xml:space="preserve">17089    </v>
      </c>
      <c r="G981" s="1" t="str">
        <f>"8006373493"</f>
        <v>8006373493</v>
      </c>
      <c r="H981" s="1" t="s">
        <v>2637</v>
      </c>
    </row>
    <row r="982" spans="1:8" x14ac:dyDescent="0.25">
      <c r="A982" s="1" t="str">
        <f>"173  "</f>
        <v xml:space="preserve">173  </v>
      </c>
      <c r="B982" s="1" t="s">
        <v>1963</v>
      </c>
      <c r="C982" s="1" t="s">
        <v>2216</v>
      </c>
      <c r="D982" s="1" t="s">
        <v>3188</v>
      </c>
      <c r="E982" s="1" t="s">
        <v>2832</v>
      </c>
      <c r="F982" s="1" t="str">
        <f>"325910100"</f>
        <v>325910100</v>
      </c>
      <c r="G982" s="1" t="str">
        <f>"8002757366"</f>
        <v>8002757366</v>
      </c>
      <c r="H982" s="1" t="s">
        <v>2637</v>
      </c>
    </row>
    <row r="983" spans="1:8" x14ac:dyDescent="0.25">
      <c r="A983" s="1" t="str">
        <f>"770  "</f>
        <v xml:space="preserve">770  </v>
      </c>
      <c r="B983" s="1" t="s">
        <v>138</v>
      </c>
      <c r="C983" s="1" t="s">
        <v>139</v>
      </c>
      <c r="D983" s="1" t="s">
        <v>140</v>
      </c>
      <c r="E983" s="1" t="s">
        <v>2697</v>
      </c>
      <c r="F983" s="1" t="str">
        <f>"19493    "</f>
        <v xml:space="preserve">19493    </v>
      </c>
      <c r="G983" s="1" t="str">
        <f>"8005237900"</f>
        <v>8005237900</v>
      </c>
      <c r="H983" s="1" t="s">
        <v>2637</v>
      </c>
    </row>
    <row r="984" spans="1:8" x14ac:dyDescent="0.25">
      <c r="A984" s="1" t="str">
        <f>"708  "</f>
        <v xml:space="preserve">708  </v>
      </c>
      <c r="B984" s="1" t="s">
        <v>2432</v>
      </c>
      <c r="C984" s="1" t="s">
        <v>775</v>
      </c>
      <c r="D984" s="1" t="s">
        <v>776</v>
      </c>
      <c r="E984" s="1" t="s">
        <v>2697</v>
      </c>
      <c r="F984" s="1" t="str">
        <f>"19406    "</f>
        <v xml:space="preserve">19406    </v>
      </c>
      <c r="G984" s="1" t="str">
        <f>"8885547629"</f>
        <v>8885547629</v>
      </c>
      <c r="H984" s="1" t="s">
        <v>777</v>
      </c>
    </row>
    <row r="985" spans="1:8" x14ac:dyDescent="0.25">
      <c r="A985" s="1" t="str">
        <f>"862  "</f>
        <v xml:space="preserve">862  </v>
      </c>
      <c r="B985" s="1" t="s">
        <v>2432</v>
      </c>
      <c r="C985" s="1" t="str">
        <f>"300 CORPORATE PARKWAY                             "</f>
        <v xml:space="preserve">300 CORPORATE PARKWAY                             </v>
      </c>
      <c r="D985" s="1" t="s">
        <v>2433</v>
      </c>
      <c r="E985" s="1" t="s">
        <v>2773</v>
      </c>
      <c r="F985" s="1" t="str">
        <f>"11226    "</f>
        <v xml:space="preserve">11226    </v>
      </c>
      <c r="G985" s="1" t="str">
        <f>"8777776076"</f>
        <v>8777776076</v>
      </c>
      <c r="H985" s="1" t="s">
        <v>2637</v>
      </c>
    </row>
    <row r="986" spans="1:8" x14ac:dyDescent="0.25">
      <c r="A986" s="1" t="str">
        <f>"325  "</f>
        <v xml:space="preserve">325  </v>
      </c>
      <c r="B986" s="1" t="s">
        <v>752</v>
      </c>
      <c r="C986" s="1" t="s">
        <v>753</v>
      </c>
      <c r="D986" s="1" t="s">
        <v>2791</v>
      </c>
      <c r="E986" s="1" t="s">
        <v>2744</v>
      </c>
      <c r="F986" s="1" t="str">
        <f>"40742    "</f>
        <v xml:space="preserve">40742    </v>
      </c>
      <c r="G986" s="1" t="str">
        <f>"8004311211"</f>
        <v>8004311211</v>
      </c>
      <c r="H986" s="1" t="s">
        <v>2637</v>
      </c>
    </row>
    <row r="987" spans="1:8" x14ac:dyDescent="0.25">
      <c r="A987" s="1" t="str">
        <f>"740  "</f>
        <v xml:space="preserve">740  </v>
      </c>
      <c r="B987" s="1" t="s">
        <v>1583</v>
      </c>
      <c r="C987" s="1" t="s">
        <v>1584</v>
      </c>
      <c r="D987" s="1" t="s">
        <v>2808</v>
      </c>
      <c r="E987" s="1" t="s">
        <v>2809</v>
      </c>
      <c r="F987" s="1" t="str">
        <f>"850722196"</f>
        <v>850722196</v>
      </c>
      <c r="G987" s="1" t="str">
        <f>"8002376184"</f>
        <v>8002376184</v>
      </c>
      <c r="H987" s="1" t="s">
        <v>1585</v>
      </c>
    </row>
    <row r="988" spans="1:8" x14ac:dyDescent="0.25">
      <c r="A988" s="1" t="str">
        <f>"964  "</f>
        <v xml:space="preserve">964  </v>
      </c>
      <c r="B988" s="1" t="s">
        <v>1731</v>
      </c>
      <c r="C988" s="1" t="str">
        <f>"9343 TECH CENTER DR.                              "</f>
        <v xml:space="preserve">9343 TECH CENTER DR.                              </v>
      </c>
      <c r="D988" s="1" t="s">
        <v>1732</v>
      </c>
      <c r="E988" s="1" t="s">
        <v>2663</v>
      </c>
      <c r="F988" s="1" t="str">
        <f>"95826    "</f>
        <v xml:space="preserve">95826    </v>
      </c>
      <c r="G988" s="1" t="str">
        <f>"8007770074"</f>
        <v>8007770074</v>
      </c>
      <c r="H988" s="1" t="s">
        <v>2637</v>
      </c>
    </row>
    <row r="989" spans="1:8" x14ac:dyDescent="0.25">
      <c r="A989" s="1" t="str">
        <f>"314  "</f>
        <v xml:space="preserve">314  </v>
      </c>
      <c r="B989" s="1" t="s">
        <v>699</v>
      </c>
      <c r="C989" s="1" t="str">
        <f>"50 LENNOX POINTE                                  "</f>
        <v xml:space="preserve">50 LENNOX POINTE                                  </v>
      </c>
      <c r="D989" s="1" t="s">
        <v>2717</v>
      </c>
      <c r="E989" s="1" t="s">
        <v>2681</v>
      </c>
      <c r="F989" s="1" t="str">
        <f>"30324    "</f>
        <v xml:space="preserve">30324    </v>
      </c>
      <c r="G989" s="1" t="str">
        <f>"8887275560"</f>
        <v>8887275560</v>
      </c>
      <c r="H989" s="1" t="s">
        <v>2068</v>
      </c>
    </row>
    <row r="990" spans="1:8" x14ac:dyDescent="0.25">
      <c r="A990" s="1" t="s">
        <v>2184</v>
      </c>
      <c r="B990" s="1" t="s">
        <v>2185</v>
      </c>
      <c r="C990" s="1" t="str">
        <f>"1170 E WESTERN RESERVE RD                         "</f>
        <v xml:space="preserve">1170 E WESTERN RESERVE RD                         </v>
      </c>
      <c r="D990" s="1" t="s">
        <v>2186</v>
      </c>
      <c r="E990" s="1" t="s">
        <v>2714</v>
      </c>
      <c r="F990" s="1" t="str">
        <f>"44514    "</f>
        <v xml:space="preserve">44514    </v>
      </c>
      <c r="G990" s="1" t="str">
        <f>"8007740890"</f>
        <v>8007740890</v>
      </c>
      <c r="H990" s="1" t="s">
        <v>2637</v>
      </c>
    </row>
    <row r="991" spans="1:8" x14ac:dyDescent="0.25">
      <c r="A991" s="1" t="str">
        <f>"257  "</f>
        <v xml:space="preserve">257  </v>
      </c>
      <c r="B991" s="1" t="s">
        <v>2066</v>
      </c>
      <c r="C991" s="1" t="str">
        <f>"4000 OLD WAKEFOREST RD SUITE 101                  "</f>
        <v xml:space="preserve">4000 OLD WAKEFOREST RD SUITE 101                  </v>
      </c>
      <c r="D991" s="1" t="s">
        <v>2067</v>
      </c>
      <c r="E991" s="1" t="s">
        <v>2677</v>
      </c>
      <c r="F991" s="1" t="str">
        <f>"27609    "</f>
        <v xml:space="preserve">27609    </v>
      </c>
      <c r="G991" s="1" t="str">
        <f>"8003317108"</f>
        <v>8003317108</v>
      </c>
      <c r="H991" s="1" t="s">
        <v>2068</v>
      </c>
    </row>
    <row r="992" spans="1:8" x14ac:dyDescent="0.25">
      <c r="A992" s="1" t="s">
        <v>1988</v>
      </c>
      <c r="B992" s="1" t="s">
        <v>1989</v>
      </c>
      <c r="C992" s="1" t="str">
        <f>"3380 TRICKHUM RD. BLDG 400, UNIT 100              "</f>
        <v xml:space="preserve">3380 TRICKHUM RD. BLDG 400, UNIT 100              </v>
      </c>
      <c r="D992" s="1" t="s">
        <v>1990</v>
      </c>
      <c r="E992" s="1" t="s">
        <v>2681</v>
      </c>
      <c r="F992" s="1" t="str">
        <f>"30188    "</f>
        <v xml:space="preserve">30188    </v>
      </c>
      <c r="G992" s="1" t="str">
        <f>"8009333734"</f>
        <v>8009333734</v>
      </c>
      <c r="H992" s="1" t="s">
        <v>2637</v>
      </c>
    </row>
    <row r="993" spans="1:8" x14ac:dyDescent="0.25">
      <c r="A993" s="1" t="str">
        <f>"948  "</f>
        <v xml:space="preserve">948  </v>
      </c>
      <c r="B993" s="1" t="s">
        <v>716</v>
      </c>
      <c r="C993" s="1" t="s">
        <v>717</v>
      </c>
      <c r="D993" s="1" t="s">
        <v>2635</v>
      </c>
      <c r="E993" s="1" t="s">
        <v>2636</v>
      </c>
      <c r="F993" s="1" t="str">
        <f>"77252    "</f>
        <v xml:space="preserve">77252    </v>
      </c>
      <c r="G993" s="1" t="str">
        <f>"8005527879"</f>
        <v>8005527879</v>
      </c>
      <c r="H993" s="1" t="s">
        <v>2637</v>
      </c>
    </row>
    <row r="994" spans="1:8" x14ac:dyDescent="0.25">
      <c r="A994" s="1" t="str">
        <f>"555  "</f>
        <v xml:space="preserve">555  </v>
      </c>
      <c r="B994" s="1" t="s">
        <v>588</v>
      </c>
      <c r="C994" s="1" t="s">
        <v>589</v>
      </c>
      <c r="D994" s="1" t="s">
        <v>2635</v>
      </c>
      <c r="E994" s="1" t="s">
        <v>2636</v>
      </c>
      <c r="F994" s="1" t="str">
        <f>"772104882"</f>
        <v>772104882</v>
      </c>
      <c r="G994" s="1" t="str">
        <f>"8005527879"</f>
        <v>8005527879</v>
      </c>
      <c r="H994" s="1" t="s">
        <v>2688</v>
      </c>
    </row>
    <row r="995" spans="1:8" x14ac:dyDescent="0.25">
      <c r="A995" s="1" t="str">
        <f>"468  "</f>
        <v xml:space="preserve">468  </v>
      </c>
      <c r="B995" s="1" t="s">
        <v>620</v>
      </c>
      <c r="C995" s="1" t="s">
        <v>2431</v>
      </c>
      <c r="D995" s="1" t="s">
        <v>2413</v>
      </c>
      <c r="E995" s="1" t="s">
        <v>2636</v>
      </c>
      <c r="F995" s="1" t="str">
        <f>"76015    "</f>
        <v xml:space="preserve">76015    </v>
      </c>
      <c r="G995" s="1" t="str">
        <f>"8003976241"</f>
        <v>8003976241</v>
      </c>
      <c r="H995" s="1" t="s">
        <v>2637</v>
      </c>
    </row>
    <row r="996" spans="1:8" x14ac:dyDescent="0.25">
      <c r="A996" s="1" t="str">
        <f>"561  "</f>
        <v xml:space="preserve">561  </v>
      </c>
      <c r="B996" s="1" t="s">
        <v>1120</v>
      </c>
      <c r="C996" s="1" t="s">
        <v>1121</v>
      </c>
      <c r="D996" s="1" t="s">
        <v>1122</v>
      </c>
      <c r="E996" s="1" t="s">
        <v>2952</v>
      </c>
      <c r="F996" s="1" t="str">
        <f>"06115    "</f>
        <v xml:space="preserve">06115    </v>
      </c>
      <c r="G996" s="1" t="str">
        <f>"8004512513"</f>
        <v>8004512513</v>
      </c>
      <c r="H996" s="1" t="s">
        <v>1123</v>
      </c>
    </row>
    <row r="997" spans="1:8" x14ac:dyDescent="0.25">
      <c r="A997" s="1" t="str">
        <f>"533  "</f>
        <v xml:space="preserve">533  </v>
      </c>
      <c r="B997" s="1" t="s">
        <v>497</v>
      </c>
      <c r="C997" s="1" t="s">
        <v>498</v>
      </c>
      <c r="D997" s="1" t="s">
        <v>2701</v>
      </c>
      <c r="E997" s="1" t="s">
        <v>2660</v>
      </c>
      <c r="F997" s="1" t="str">
        <f>"292111111"</f>
        <v>292111111</v>
      </c>
      <c r="G997" s="1" t="str">
        <f>"8883239271"</f>
        <v>8883239271</v>
      </c>
      <c r="H997" s="1" t="s">
        <v>2637</v>
      </c>
    </row>
    <row r="998" spans="1:8" x14ac:dyDescent="0.25">
      <c r="A998" s="1" t="str">
        <f>"326  "</f>
        <v xml:space="preserve">326  </v>
      </c>
      <c r="B998" s="1" t="s">
        <v>2050</v>
      </c>
      <c r="C998" s="1" t="s">
        <v>2051</v>
      </c>
      <c r="D998" s="1" t="s">
        <v>2052</v>
      </c>
      <c r="E998" s="1" t="s">
        <v>2681</v>
      </c>
      <c r="F998" s="1" t="str">
        <f>"300090247"</f>
        <v>300090247</v>
      </c>
      <c r="G998" s="1" t="str">
        <f>"8008329186"</f>
        <v>8008329186</v>
      </c>
      <c r="H998" s="1" t="s">
        <v>2637</v>
      </c>
    </row>
    <row r="999" spans="1:8" x14ac:dyDescent="0.25">
      <c r="A999" s="1" t="str">
        <f>"590  "</f>
        <v xml:space="preserve">590  </v>
      </c>
      <c r="B999" s="1" t="s">
        <v>321</v>
      </c>
      <c r="C999" s="1" t="s">
        <v>322</v>
      </c>
      <c r="D999" s="1" t="s">
        <v>3238</v>
      </c>
      <c r="E999" s="1" t="s">
        <v>2952</v>
      </c>
      <c r="F999" s="1" t="str">
        <f>"06601    "</f>
        <v xml:space="preserve">06601    </v>
      </c>
      <c r="G999" s="1" t="str">
        <f>"8008484747"</f>
        <v>8008484747</v>
      </c>
      <c r="H999" s="1" t="s">
        <v>2637</v>
      </c>
    </row>
    <row r="1000" spans="1:8" x14ac:dyDescent="0.25">
      <c r="A1000" s="1" t="str">
        <f>"773  "</f>
        <v xml:space="preserve">773  </v>
      </c>
      <c r="B1000" s="1" t="s">
        <v>406</v>
      </c>
      <c r="C1000" s="1" t="s">
        <v>407</v>
      </c>
      <c r="D1000" s="1" t="s">
        <v>2891</v>
      </c>
      <c r="E1000" s="1" t="s">
        <v>2862</v>
      </c>
      <c r="F1000" s="1" t="str">
        <f>"681032018"</f>
        <v>681032018</v>
      </c>
      <c r="G1000" s="1" t="str">
        <f>"8002289100"</f>
        <v>8002289100</v>
      </c>
      <c r="H1000" s="1" t="s">
        <v>408</v>
      </c>
    </row>
    <row r="1001" spans="1:8" x14ac:dyDescent="0.25">
      <c r="A1001" s="1" t="str">
        <f>"228  "</f>
        <v xml:space="preserve">228  </v>
      </c>
      <c r="B1001" s="1" t="s">
        <v>1265</v>
      </c>
      <c r="C1001" s="1" t="s">
        <v>1266</v>
      </c>
      <c r="D1001" s="1" t="s">
        <v>3166</v>
      </c>
      <c r="E1001" s="1" t="s">
        <v>2667</v>
      </c>
      <c r="F1001" s="1" t="str">
        <f>"53209    "</f>
        <v xml:space="preserve">53209    </v>
      </c>
      <c r="G1001" s="1" t="str">
        <f>"8005455015"</f>
        <v>8005455015</v>
      </c>
      <c r="H1001" s="1" t="s">
        <v>2648</v>
      </c>
    </row>
    <row r="1002" spans="1:8" x14ac:dyDescent="0.25">
      <c r="A1002" s="1" t="str">
        <f>"688  "</f>
        <v xml:space="preserve">688  </v>
      </c>
      <c r="B1002" s="1" t="s">
        <v>638</v>
      </c>
      <c r="C1002" s="1" t="str">
        <f>"-                                                 "</f>
        <v xml:space="preserve">-                                                 </v>
      </c>
      <c r="D1002" s="1" t="str">
        <f>"-                                      "</f>
        <v xml:space="preserve">-                                      </v>
      </c>
      <c r="E1002" s="1" t="str">
        <f>"- "</f>
        <v xml:space="preserve">- </v>
      </c>
      <c r="F1002" s="1" t="str">
        <f>"-        "</f>
        <v xml:space="preserve">-        </v>
      </c>
      <c r="G1002" s="1" t="s">
        <v>2637</v>
      </c>
      <c r="H1002" s="1" t="s">
        <v>2637</v>
      </c>
    </row>
    <row r="1003" spans="1:8" x14ac:dyDescent="0.25">
      <c r="A1003" s="1" t="s">
        <v>1563</v>
      </c>
      <c r="B1003" s="1" t="s">
        <v>1564</v>
      </c>
      <c r="C1003" s="1" t="s">
        <v>1565</v>
      </c>
      <c r="D1003" s="1" t="s">
        <v>2058</v>
      </c>
      <c r="E1003" s="1" t="s">
        <v>2677</v>
      </c>
      <c r="F1003" s="1" t="str">
        <f>"274270830"</f>
        <v>274270830</v>
      </c>
      <c r="G1003" s="1" t="str">
        <f>"8008527040"</f>
        <v>8008527040</v>
      </c>
      <c r="H1003" s="1" t="s">
        <v>2637</v>
      </c>
    </row>
    <row r="1004" spans="1:8" x14ac:dyDescent="0.25">
      <c r="A1004" s="1" t="str">
        <f>"804  "</f>
        <v xml:space="preserve">804  </v>
      </c>
      <c r="B1004" s="1" t="s">
        <v>568</v>
      </c>
      <c r="C1004" s="1" t="s">
        <v>569</v>
      </c>
      <c r="D1004" s="1" t="s">
        <v>3070</v>
      </c>
      <c r="E1004" s="1" t="s">
        <v>2714</v>
      </c>
      <c r="F1004" s="1" t="str">
        <f>"452500408"</f>
        <v>452500408</v>
      </c>
      <c r="G1004" s="1" t="str">
        <f>"8004007247"</f>
        <v>8004007247</v>
      </c>
      <c r="H1004" s="1" t="s">
        <v>2637</v>
      </c>
    </row>
    <row r="1005" spans="1:8" x14ac:dyDescent="0.25">
      <c r="A1005" s="1" t="str">
        <f>"434  "</f>
        <v xml:space="preserve">434  </v>
      </c>
      <c r="B1005" s="1" t="s">
        <v>2658</v>
      </c>
      <c r="C1005" s="1" t="str">
        <f>"116 BONHAM CT.                                    "</f>
        <v xml:space="preserve">116 BONHAM CT.                                    </v>
      </c>
      <c r="D1005" s="1" t="s">
        <v>2659</v>
      </c>
      <c r="E1005" s="1" t="s">
        <v>2660</v>
      </c>
      <c r="F1005" s="1" t="str">
        <f>"29621    "</f>
        <v xml:space="preserve">29621    </v>
      </c>
      <c r="G1005" s="1" t="str">
        <f>"8643759661"</f>
        <v>8643759661</v>
      </c>
      <c r="H1005" s="1" t="s">
        <v>2637</v>
      </c>
    </row>
    <row r="1006" spans="1:8" x14ac:dyDescent="0.25">
      <c r="A1006" s="1" t="str">
        <f>"487  "</f>
        <v xml:space="preserve">487  </v>
      </c>
      <c r="B1006" s="1" t="s">
        <v>1406</v>
      </c>
      <c r="C1006" s="1" t="s">
        <v>1407</v>
      </c>
      <c r="D1006" s="1" t="s">
        <v>1408</v>
      </c>
      <c r="E1006" s="1" t="s">
        <v>2660</v>
      </c>
      <c r="F1006" s="1" t="str">
        <f>"29571    "</f>
        <v xml:space="preserve">29571    </v>
      </c>
      <c r="G1006" s="1" t="str">
        <f>"8434235541"</f>
        <v>8434235541</v>
      </c>
      <c r="H1006" s="1" t="s">
        <v>2637</v>
      </c>
    </row>
    <row r="1007" spans="1:8" x14ac:dyDescent="0.25">
      <c r="A1007" s="1" t="s">
        <v>3040</v>
      </c>
      <c r="B1007" s="1" t="s">
        <v>3041</v>
      </c>
      <c r="C1007" s="1" t="s">
        <v>3042</v>
      </c>
      <c r="D1007" s="1" t="s">
        <v>2717</v>
      </c>
      <c r="E1007" s="1" t="s">
        <v>2681</v>
      </c>
      <c r="F1007" s="1" t="str">
        <f>"30303    "</f>
        <v xml:space="preserve">30303    </v>
      </c>
      <c r="G1007" s="1" t="str">
        <f>"4046592100"</f>
        <v>4046592100</v>
      </c>
      <c r="H1007" s="1" t="s">
        <v>2735</v>
      </c>
    </row>
    <row r="1008" spans="1:8" x14ac:dyDescent="0.25">
      <c r="A1008" s="1" t="str">
        <f>"395  "</f>
        <v xml:space="preserve">395  </v>
      </c>
      <c r="B1008" s="1" t="s">
        <v>2686</v>
      </c>
      <c r="C1008" s="1" t="str">
        <f>"1630 E SHAW AVE STE 190                           "</f>
        <v xml:space="preserve">1630 E SHAW AVE STE 190                           </v>
      </c>
      <c r="D1008" s="1" t="s">
        <v>2687</v>
      </c>
      <c r="E1008" s="1" t="s">
        <v>2663</v>
      </c>
      <c r="F1008" s="1" t="str">
        <f>"93710    "</f>
        <v xml:space="preserve">93710    </v>
      </c>
      <c r="G1008" s="1" t="str">
        <f>"8006499121"</f>
        <v>8006499121</v>
      </c>
      <c r="H1008" s="1" t="s">
        <v>2688</v>
      </c>
    </row>
    <row r="1009" spans="1:8" x14ac:dyDescent="0.25">
      <c r="A1009" s="1" t="s">
        <v>2330</v>
      </c>
      <c r="B1009" s="1" t="s">
        <v>2331</v>
      </c>
      <c r="C1009" s="1" t="s">
        <v>2332</v>
      </c>
      <c r="D1009" s="1" t="s">
        <v>2333</v>
      </c>
      <c r="E1009" s="1" t="s">
        <v>3118</v>
      </c>
      <c r="F1009" s="1" t="str">
        <f>"01041    "</f>
        <v xml:space="preserve">01041    </v>
      </c>
      <c r="G1009" s="1" t="str">
        <f>"8004234586"</f>
        <v>8004234586</v>
      </c>
      <c r="H1009" s="1" t="s">
        <v>2637</v>
      </c>
    </row>
    <row r="1010" spans="1:8" x14ac:dyDescent="0.25">
      <c r="A1010" s="1" t="str">
        <f>"792  "</f>
        <v xml:space="preserve">792  </v>
      </c>
      <c r="B1010" s="1" t="s">
        <v>1028</v>
      </c>
      <c r="C1010" s="1" t="s">
        <v>1029</v>
      </c>
      <c r="D1010" s="1" t="s">
        <v>2016</v>
      </c>
      <c r="E1010" s="1" t="s">
        <v>2786</v>
      </c>
      <c r="F1010" s="1" t="str">
        <f>"611051250"</f>
        <v>611051250</v>
      </c>
      <c r="G1010" s="1" t="str">
        <f>"8159875000"</f>
        <v>8159875000</v>
      </c>
      <c r="H1010" s="1" t="s">
        <v>2017</v>
      </c>
    </row>
    <row r="1011" spans="1:8" x14ac:dyDescent="0.25">
      <c r="A1011" s="1" t="str">
        <f>"338  "</f>
        <v xml:space="preserve">338  </v>
      </c>
      <c r="B1011" s="1" t="s">
        <v>409</v>
      </c>
      <c r="C1011" s="1" t="s">
        <v>410</v>
      </c>
      <c r="D1011" s="1" t="s">
        <v>2181</v>
      </c>
      <c r="E1011" s="1" t="s">
        <v>2970</v>
      </c>
      <c r="F1011" s="1" t="str">
        <f>"38111    "</f>
        <v xml:space="preserve">38111    </v>
      </c>
      <c r="G1011" s="1" t="str">
        <f>"8002381344"</f>
        <v>8002381344</v>
      </c>
      <c r="H1011" s="1" t="s">
        <v>2637</v>
      </c>
    </row>
    <row r="1012" spans="1:8" x14ac:dyDescent="0.25">
      <c r="A1012" s="1" t="s">
        <v>254</v>
      </c>
      <c r="B1012" s="1" t="s">
        <v>255</v>
      </c>
      <c r="C1012" s="1" t="str">
        <f>"734 15TH STREET NW  SUITE 500                     "</f>
        <v xml:space="preserve">734 15TH STREET NW  SUITE 500                     </v>
      </c>
      <c r="D1012" s="1" t="s">
        <v>2691</v>
      </c>
      <c r="E1012" s="1" t="s">
        <v>2692</v>
      </c>
      <c r="F1012" s="1" t="str">
        <f>"20005    "</f>
        <v xml:space="preserve">20005    </v>
      </c>
      <c r="G1012" s="1" t="str">
        <f>"2023936600"</f>
        <v>2023936600</v>
      </c>
      <c r="H1012" s="1" t="s">
        <v>2637</v>
      </c>
    </row>
    <row r="1013" spans="1:8" x14ac:dyDescent="0.25">
      <c r="A1013" s="1" t="str">
        <f>"276  "</f>
        <v xml:space="preserve">276  </v>
      </c>
      <c r="B1013" s="1" t="s">
        <v>2514</v>
      </c>
      <c r="C1013" s="1" t="str">
        <f>"930 CANTERBURY PLACE                              "</f>
        <v xml:space="preserve">930 CANTERBURY PLACE                              </v>
      </c>
      <c r="D1013" s="1" t="s">
        <v>2515</v>
      </c>
      <c r="E1013" s="1" t="s">
        <v>2663</v>
      </c>
      <c r="F1013" s="1" t="str">
        <f>"92025    "</f>
        <v xml:space="preserve">92025    </v>
      </c>
      <c r="G1013" s="1" t="str">
        <f>"8005385512"</f>
        <v>8005385512</v>
      </c>
      <c r="H1013" s="1" t="s">
        <v>2637</v>
      </c>
    </row>
    <row r="1014" spans="1:8" x14ac:dyDescent="0.25">
      <c r="A1014" s="1" t="str">
        <f>"886  "</f>
        <v xml:space="preserve">886  </v>
      </c>
      <c r="B1014" s="1" t="s">
        <v>3290</v>
      </c>
      <c r="C1014" s="1" t="s">
        <v>3291</v>
      </c>
      <c r="D1014" s="1" t="s">
        <v>2701</v>
      </c>
      <c r="E1014" s="1" t="s">
        <v>2660</v>
      </c>
      <c r="F1014" s="1" t="str">
        <f>"29260    "</f>
        <v xml:space="preserve">29260    </v>
      </c>
      <c r="G1014" s="1" t="str">
        <f>"8037540041"</f>
        <v>8037540041</v>
      </c>
      <c r="H1014" s="1" t="s">
        <v>2637</v>
      </c>
    </row>
    <row r="1015" spans="1:8" x14ac:dyDescent="0.25">
      <c r="A1015" s="1" t="str">
        <f>"886DN"</f>
        <v>886DN</v>
      </c>
      <c r="B1015" s="1" t="s">
        <v>3290</v>
      </c>
      <c r="C1015" s="1" t="s">
        <v>3291</v>
      </c>
      <c r="D1015" s="1" t="s">
        <v>2701</v>
      </c>
      <c r="E1015" s="1" t="s">
        <v>2660</v>
      </c>
      <c r="F1015" s="1" t="str">
        <f>"29260    "</f>
        <v xml:space="preserve">29260    </v>
      </c>
      <c r="G1015" s="1" t="str">
        <f>"8037540041"</f>
        <v>8037540041</v>
      </c>
      <c r="H1015" s="1" t="s">
        <v>2637</v>
      </c>
    </row>
    <row r="1016" spans="1:8" x14ac:dyDescent="0.25">
      <c r="A1016" s="1" t="str">
        <f>"706  "</f>
        <v xml:space="preserve">706  </v>
      </c>
      <c r="B1016" s="1" t="s">
        <v>915</v>
      </c>
      <c r="C1016" s="1" t="s">
        <v>1448</v>
      </c>
      <c r="D1016" s="1" t="s">
        <v>1449</v>
      </c>
      <c r="E1016" s="1" t="s">
        <v>2681</v>
      </c>
      <c r="F1016" s="1" t="str">
        <f>"312020840"</f>
        <v>312020840</v>
      </c>
      <c r="G1016" s="1" t="str">
        <f>"8887412673"</f>
        <v>8887412673</v>
      </c>
      <c r="H1016" s="1" t="s">
        <v>2637</v>
      </c>
    </row>
    <row r="1017" spans="1:8" x14ac:dyDescent="0.25">
      <c r="A1017" s="1" t="str">
        <f>"585  "</f>
        <v xml:space="preserve">585  </v>
      </c>
      <c r="B1017" s="1" t="s">
        <v>15</v>
      </c>
      <c r="C1017" s="1" t="str">
        <f>"1024 MCKINLEY ST                                  "</f>
        <v xml:space="preserve">1024 MCKINLEY ST                                  </v>
      </c>
      <c r="D1017" s="1" t="s">
        <v>16</v>
      </c>
      <c r="E1017" s="1" t="s">
        <v>2773</v>
      </c>
      <c r="F1017" s="1" t="str">
        <f>"10566    "</f>
        <v xml:space="preserve">10566    </v>
      </c>
      <c r="G1017" s="1" t="str">
        <f>"9147377220"</f>
        <v>9147377220</v>
      </c>
      <c r="H1017" s="1" t="s">
        <v>2637</v>
      </c>
    </row>
    <row r="1018" spans="1:8" x14ac:dyDescent="0.25">
      <c r="A1018" s="1" t="str">
        <f>"751  "</f>
        <v xml:space="preserve">751  </v>
      </c>
      <c r="B1018" s="1" t="s">
        <v>2380</v>
      </c>
      <c r="C1018" s="1" t="s">
        <v>682</v>
      </c>
      <c r="D1018" s="1" t="s">
        <v>110</v>
      </c>
      <c r="E1018" s="1" t="s">
        <v>2714</v>
      </c>
      <c r="F1018" s="1" t="str">
        <f>"43086-   "</f>
        <v xml:space="preserve">43086-   </v>
      </c>
      <c r="G1018" s="1" t="str">
        <f>"8002340225"</f>
        <v>8002340225</v>
      </c>
      <c r="H1018" s="1" t="s">
        <v>2637</v>
      </c>
    </row>
    <row r="1019" spans="1:8" x14ac:dyDescent="0.25">
      <c r="A1019" s="1" t="str">
        <f>"751DN"</f>
        <v>751DN</v>
      </c>
      <c r="B1019" s="1" t="s">
        <v>2380</v>
      </c>
      <c r="C1019" s="1" t="s">
        <v>2381</v>
      </c>
      <c r="D1019" s="1" t="s">
        <v>2382</v>
      </c>
      <c r="E1019" s="1" t="s">
        <v>2714</v>
      </c>
      <c r="F1019" s="1" t="str">
        <f>"43015-   "</f>
        <v xml:space="preserve">43015-   </v>
      </c>
      <c r="G1019" s="1" t="str">
        <f>"8002340225"</f>
        <v>8002340225</v>
      </c>
      <c r="H1019" s="1" t="s">
        <v>2637</v>
      </c>
    </row>
    <row r="1020" spans="1:8" x14ac:dyDescent="0.25">
      <c r="A1020" s="1" t="str">
        <f>"751RX"</f>
        <v>751RX</v>
      </c>
      <c r="B1020" s="1" t="s">
        <v>2380</v>
      </c>
      <c r="C1020" s="1" t="s">
        <v>2381</v>
      </c>
      <c r="D1020" s="1" t="s">
        <v>2382</v>
      </c>
      <c r="E1020" s="1" t="s">
        <v>2714</v>
      </c>
      <c r="F1020" s="1" t="str">
        <f>"43015-   "</f>
        <v xml:space="preserve">43015-   </v>
      </c>
      <c r="G1020" s="1" t="str">
        <f>"8002340225"</f>
        <v>8002340225</v>
      </c>
      <c r="H1020" s="1" t="s">
        <v>2637</v>
      </c>
    </row>
    <row r="1021" spans="1:8" x14ac:dyDescent="0.25">
      <c r="A1021" s="1" t="str">
        <f>"589  "</f>
        <v xml:space="preserve">589  </v>
      </c>
      <c r="B1021" s="1" t="s">
        <v>3130</v>
      </c>
      <c r="C1021" s="1" t="str">
        <f>"2000 W MARSHALL DR                                "</f>
        <v xml:space="preserve">2000 W MARSHALL DR                                </v>
      </c>
      <c r="D1021" s="1" t="s">
        <v>3131</v>
      </c>
      <c r="E1021" s="1" t="s">
        <v>2636</v>
      </c>
      <c r="F1021" s="1" t="str">
        <f>"75051    "</f>
        <v xml:space="preserve">75051    </v>
      </c>
      <c r="G1021" s="1" t="str">
        <f>"8007855301"</f>
        <v>8007855301</v>
      </c>
      <c r="H1021" s="1" t="s">
        <v>2735</v>
      </c>
    </row>
    <row r="1022" spans="1:8" x14ac:dyDescent="0.25">
      <c r="A1022" s="1" t="str">
        <f>"391  "</f>
        <v xml:space="preserve">391  </v>
      </c>
      <c r="B1022" s="1" t="s">
        <v>576</v>
      </c>
      <c r="C1022" s="1" t="s">
        <v>577</v>
      </c>
      <c r="D1022" s="1" t="s">
        <v>727</v>
      </c>
      <c r="E1022" s="1" t="s">
        <v>2773</v>
      </c>
      <c r="F1022" s="1" t="str">
        <f>"13217    "</f>
        <v xml:space="preserve">13217    </v>
      </c>
      <c r="G1022" s="1" t="str">
        <f>"8002344393"</f>
        <v>8002344393</v>
      </c>
      <c r="H1022" s="1" t="s">
        <v>2637</v>
      </c>
    </row>
    <row r="1023" spans="1:8" x14ac:dyDescent="0.25">
      <c r="A1023" s="1" t="str">
        <f>"385  "</f>
        <v xml:space="preserve">385  </v>
      </c>
      <c r="B1023" s="1" t="s">
        <v>319</v>
      </c>
      <c r="C1023" s="1" t="str">
        <f>"1019 N. ROYAL STREET                              "</f>
        <v xml:space="preserve">1019 N. ROYAL STREET                              </v>
      </c>
      <c r="D1023" s="1" t="s">
        <v>320</v>
      </c>
      <c r="E1023" s="1" t="s">
        <v>3164</v>
      </c>
      <c r="F1023" s="1" t="str">
        <f>"22314    "</f>
        <v xml:space="preserve">22314    </v>
      </c>
      <c r="G1023" s="1" t="str">
        <f>"7036835585"</f>
        <v>7036835585</v>
      </c>
      <c r="H1023" s="1" t="s">
        <v>2637</v>
      </c>
    </row>
    <row r="1024" spans="1:8" x14ac:dyDescent="0.25">
      <c r="A1024" s="1" t="str">
        <f>"168  "</f>
        <v xml:space="preserve">168  </v>
      </c>
      <c r="B1024" s="1" t="s">
        <v>3002</v>
      </c>
      <c r="C1024" s="1" t="s">
        <v>3003</v>
      </c>
      <c r="D1024" s="1" t="s">
        <v>3004</v>
      </c>
      <c r="E1024" s="1" t="s">
        <v>2773</v>
      </c>
      <c r="F1024" s="1" t="str">
        <f>"11753    "</f>
        <v xml:space="preserve">11753    </v>
      </c>
      <c r="G1024" s="1" t="str">
        <f>"5163906000"</f>
        <v>5163906000</v>
      </c>
      <c r="H1024" s="1" t="s">
        <v>2637</v>
      </c>
    </row>
    <row r="1025" spans="1:8" x14ac:dyDescent="0.25">
      <c r="A1025" s="1" t="str">
        <f>"877  "</f>
        <v xml:space="preserve">877  </v>
      </c>
      <c r="B1025" s="1" t="s">
        <v>1875</v>
      </c>
      <c r="C1025" s="1" t="s">
        <v>1876</v>
      </c>
      <c r="D1025" s="1" t="s">
        <v>1877</v>
      </c>
      <c r="E1025" s="1" t="s">
        <v>2670</v>
      </c>
      <c r="F1025" s="1" t="str">
        <f>"640510300"</f>
        <v>640510300</v>
      </c>
      <c r="G1025" s="1" t="str">
        <f>"8002207898"</f>
        <v>8002207898</v>
      </c>
      <c r="H1025" s="1" t="s">
        <v>1878</v>
      </c>
    </row>
    <row r="1026" spans="1:8" x14ac:dyDescent="0.25">
      <c r="A1026" s="1" t="s">
        <v>1883</v>
      </c>
      <c r="B1026" s="1" t="s">
        <v>1884</v>
      </c>
      <c r="C1026" s="1" t="s">
        <v>1885</v>
      </c>
      <c r="D1026" s="1" t="s">
        <v>2981</v>
      </c>
      <c r="E1026" s="1" t="s">
        <v>2832</v>
      </c>
      <c r="F1026" s="1" t="str">
        <f>"336798263"</f>
        <v>336798263</v>
      </c>
      <c r="G1026" s="1" t="str">
        <f>"8772767198"</f>
        <v>8772767198</v>
      </c>
      <c r="H1026" s="1" t="s">
        <v>2637</v>
      </c>
    </row>
    <row r="1027" spans="1:8" x14ac:dyDescent="0.25">
      <c r="A1027" s="1" t="str">
        <f>"486  "</f>
        <v xml:space="preserve">486  </v>
      </c>
      <c r="B1027" s="1" t="s">
        <v>1161</v>
      </c>
      <c r="C1027" s="1" t="s">
        <v>1162</v>
      </c>
      <c r="D1027" s="1" t="s">
        <v>3180</v>
      </c>
      <c r="E1027" s="1" t="s">
        <v>2773</v>
      </c>
      <c r="F1027" s="1" t="str">
        <f>"146922920"</f>
        <v>146922920</v>
      </c>
      <c r="G1027" s="1" t="str">
        <f>"8009993920"</f>
        <v>8009993920</v>
      </c>
      <c r="H1027" s="1" t="s">
        <v>2795</v>
      </c>
    </row>
    <row r="1028" spans="1:8" x14ac:dyDescent="0.25">
      <c r="A1028" s="1" t="str">
        <f>"347  "</f>
        <v xml:space="preserve">347  </v>
      </c>
      <c r="B1028" s="1" t="s">
        <v>42</v>
      </c>
      <c r="C1028" s="1" t="str">
        <f>"1300 VIRGINIA DIRVE SUITE 315                     "</f>
        <v xml:space="preserve">1300 VIRGINIA DIRVE SUITE 315                     </v>
      </c>
      <c r="D1028" s="1" t="s">
        <v>43</v>
      </c>
      <c r="E1028" s="1" t="s">
        <v>2697</v>
      </c>
      <c r="F1028" s="1" t="str">
        <f>"19034    "</f>
        <v xml:space="preserve">19034    </v>
      </c>
      <c r="G1028" s="1" t="str">
        <f>"8002223085"</f>
        <v>8002223085</v>
      </c>
      <c r="H1028" s="1" t="s">
        <v>2637</v>
      </c>
    </row>
    <row r="1029" spans="1:8" x14ac:dyDescent="0.25">
      <c r="A1029" s="1" t="str">
        <f>"909  "</f>
        <v xml:space="preserve">909  </v>
      </c>
      <c r="B1029" s="1" t="s">
        <v>1007</v>
      </c>
      <c r="C1029" s="1" t="s">
        <v>1008</v>
      </c>
      <c r="D1029" s="1" t="s">
        <v>3085</v>
      </c>
      <c r="E1029" s="1" t="s">
        <v>3086</v>
      </c>
      <c r="F1029" s="1" t="str">
        <f>"35238    "</f>
        <v xml:space="preserve">35238    </v>
      </c>
      <c r="G1029" s="1" t="str">
        <f>"8007228477"</f>
        <v>8007228477</v>
      </c>
      <c r="H1029" s="1" t="s">
        <v>2637</v>
      </c>
    </row>
    <row r="1030" spans="1:8" x14ac:dyDescent="0.25">
      <c r="A1030" s="1" t="str">
        <f>"909DN"</f>
        <v>909DN</v>
      </c>
      <c r="B1030" s="1" t="s">
        <v>1007</v>
      </c>
      <c r="C1030" s="1" t="str">
        <f>"300 CORPORATE PKWY. SUITE 3                       "</f>
        <v xml:space="preserve">300 CORPORATE PKWY. SUITE 3                       </v>
      </c>
      <c r="D1030" s="1" t="s">
        <v>3085</v>
      </c>
      <c r="E1030" s="1" t="s">
        <v>3086</v>
      </c>
      <c r="F1030" s="1" t="str">
        <f>"35242    "</f>
        <v xml:space="preserve">35242    </v>
      </c>
      <c r="G1030" s="1" t="str">
        <f>"2059691155"</f>
        <v>2059691155</v>
      </c>
      <c r="H1030" s="1" t="s">
        <v>2637</v>
      </c>
    </row>
    <row r="1031" spans="1:8" x14ac:dyDescent="0.25">
      <c r="A1031" s="1" t="str">
        <f>"270  "</f>
        <v xml:space="preserve">270  </v>
      </c>
      <c r="B1031" s="1" t="s">
        <v>2960</v>
      </c>
      <c r="C1031" s="1" t="s">
        <v>2961</v>
      </c>
      <c r="D1031" s="1" t="s">
        <v>2906</v>
      </c>
      <c r="E1031" s="1" t="s">
        <v>2677</v>
      </c>
      <c r="F1031" s="1" t="str">
        <f>"28222    "</f>
        <v xml:space="preserve">28222    </v>
      </c>
      <c r="G1031" s="1" t="str">
        <f>"8666360239"</f>
        <v>8666360239</v>
      </c>
      <c r="H1031" s="1" t="s">
        <v>2637</v>
      </c>
    </row>
    <row r="1032" spans="1:8" x14ac:dyDescent="0.25">
      <c r="A1032" s="1" t="str">
        <f>"303  "</f>
        <v xml:space="preserve">303  </v>
      </c>
      <c r="B1032" s="1" t="s">
        <v>594</v>
      </c>
      <c r="C1032" s="1" t="s">
        <v>595</v>
      </c>
      <c r="D1032" s="1" t="s">
        <v>2743</v>
      </c>
      <c r="E1032" s="1" t="s">
        <v>2744</v>
      </c>
      <c r="F1032" s="1" t="str">
        <f>"40224    "</f>
        <v xml:space="preserve">40224    </v>
      </c>
      <c r="G1032" s="1" t="str">
        <f>"5023397500"</f>
        <v>5023397500</v>
      </c>
      <c r="H1032" s="1" t="s">
        <v>2637</v>
      </c>
    </row>
    <row r="1033" spans="1:8" x14ac:dyDescent="0.25">
      <c r="A1033" s="1" t="str">
        <f>"933  "</f>
        <v xml:space="preserve">933  </v>
      </c>
      <c r="B1033" s="1" t="s">
        <v>2556</v>
      </c>
      <c r="C1033" s="1" t="str">
        <f>"620 HOWARD AVE                                    "</f>
        <v xml:space="preserve">620 HOWARD AVE                                    </v>
      </c>
      <c r="D1033" s="1" t="s">
        <v>2557</v>
      </c>
      <c r="E1033" s="1" t="s">
        <v>2697</v>
      </c>
      <c r="F1033" s="1" t="str">
        <f>"166014899"</f>
        <v>166014899</v>
      </c>
      <c r="G1033" s="1" t="s">
        <v>2637</v>
      </c>
      <c r="H1033" s="1" t="s">
        <v>2688</v>
      </c>
    </row>
    <row r="1034" spans="1:8" x14ac:dyDescent="0.25">
      <c r="A1034" s="1" t="s">
        <v>1399</v>
      </c>
      <c r="B1034" s="1" t="s">
        <v>1400</v>
      </c>
      <c r="C1034" s="1" t="s">
        <v>1401</v>
      </c>
      <c r="D1034" s="1" t="s">
        <v>2901</v>
      </c>
      <c r="E1034" s="1" t="s">
        <v>2902</v>
      </c>
      <c r="F1034" s="1" t="str">
        <f>"55459    "</f>
        <v xml:space="preserve">55459    </v>
      </c>
      <c r="G1034" s="1" t="str">
        <f>"8009971750"</f>
        <v>8009971750</v>
      </c>
      <c r="H1034" s="1" t="s">
        <v>2637</v>
      </c>
    </row>
    <row r="1035" spans="1:8" x14ac:dyDescent="0.25">
      <c r="A1035" s="1" t="s">
        <v>1112</v>
      </c>
      <c r="B1035" s="1" t="s">
        <v>1113</v>
      </c>
      <c r="C1035" s="1" t="str">
        <f>"7070-A KAIGHN AVE                                 "</f>
        <v xml:space="preserve">7070-A KAIGHN AVE                                 </v>
      </c>
      <c r="D1035" s="1" t="s">
        <v>1114</v>
      </c>
      <c r="E1035" s="1" t="s">
        <v>2821</v>
      </c>
      <c r="F1035" s="1" t="str">
        <f>"08109    "</f>
        <v xml:space="preserve">08109    </v>
      </c>
      <c r="G1035" s="1" t="str">
        <f>"800-966-01"</f>
        <v>800-966-01</v>
      </c>
      <c r="H1035" s="1" t="s">
        <v>2688</v>
      </c>
    </row>
    <row r="1036" spans="1:8" x14ac:dyDescent="0.25">
      <c r="A1036" s="1" t="str">
        <f>"939  "</f>
        <v xml:space="preserve">939  </v>
      </c>
      <c r="B1036" s="1" t="s">
        <v>2416</v>
      </c>
      <c r="C1036" s="1" t="s">
        <v>2417</v>
      </c>
      <c r="D1036" s="1" t="s">
        <v>2701</v>
      </c>
      <c r="E1036" s="1" t="s">
        <v>2660</v>
      </c>
      <c r="F1036" s="1" t="str">
        <f>"292021640"</f>
        <v>292021640</v>
      </c>
      <c r="G1036" s="1" t="str">
        <f>"8032968999"</f>
        <v>8032968999</v>
      </c>
      <c r="H1036" s="1" t="s">
        <v>2688</v>
      </c>
    </row>
    <row r="1037" spans="1:8" x14ac:dyDescent="0.25">
      <c r="A1037" s="1" t="str">
        <f>"387  "</f>
        <v xml:space="preserve">387  </v>
      </c>
      <c r="B1037" s="1" t="s">
        <v>367</v>
      </c>
      <c r="C1037" s="1" t="s">
        <v>368</v>
      </c>
      <c r="D1037" s="1" t="s">
        <v>2906</v>
      </c>
      <c r="E1037" s="1" t="s">
        <v>2677</v>
      </c>
      <c r="F1037" s="1" t="str">
        <f>"28220    "</f>
        <v xml:space="preserve">28220    </v>
      </c>
      <c r="G1037" s="1" t="str">
        <f>"7045232758"</f>
        <v>7045232758</v>
      </c>
      <c r="H1037" s="1" t="s">
        <v>2637</v>
      </c>
    </row>
    <row r="1038" spans="1:8" x14ac:dyDescent="0.25">
      <c r="A1038" s="1" t="str">
        <f>"397  "</f>
        <v xml:space="preserve">397  </v>
      </c>
      <c r="B1038" s="1" t="s">
        <v>1071</v>
      </c>
      <c r="C1038" s="1" t="s">
        <v>1072</v>
      </c>
      <c r="D1038" s="1" t="s">
        <v>2794</v>
      </c>
      <c r="E1038" s="1" t="s">
        <v>2744</v>
      </c>
      <c r="F1038" s="1" t="str">
        <f>"405124501"</f>
        <v>405124501</v>
      </c>
      <c r="G1038" s="1" t="str">
        <f>"8004231973"</f>
        <v>8004231973</v>
      </c>
      <c r="H1038" s="1" t="s">
        <v>2637</v>
      </c>
    </row>
    <row r="1039" spans="1:8" x14ac:dyDescent="0.25">
      <c r="A1039" s="1" t="str">
        <f>"844  "</f>
        <v xml:space="preserve">844  </v>
      </c>
      <c r="B1039" s="1" t="s">
        <v>2597</v>
      </c>
      <c r="C1039" s="1" t="s">
        <v>2598</v>
      </c>
      <c r="D1039" s="1" t="s">
        <v>2246</v>
      </c>
      <c r="E1039" s="1" t="s">
        <v>2714</v>
      </c>
      <c r="F1039" s="1" t="str">
        <f>"44706    "</f>
        <v xml:space="preserve">44706    </v>
      </c>
      <c r="G1039" s="1" t="str">
        <f>"8006177446"</f>
        <v>8006177446</v>
      </c>
      <c r="H1039" s="1" t="s">
        <v>2760</v>
      </c>
    </row>
    <row r="1040" spans="1:8" x14ac:dyDescent="0.25">
      <c r="A1040" s="1" t="s">
        <v>3000</v>
      </c>
      <c r="B1040" s="1" t="s">
        <v>3001</v>
      </c>
      <c r="C1040" s="1" t="str">
        <f>"3120 BRECKINRIDGE BOULEVARD                       "</f>
        <v xml:space="preserve">3120 BRECKINRIDGE BOULEVARD                       </v>
      </c>
      <c r="D1040" s="1" t="s">
        <v>2867</v>
      </c>
      <c r="E1040" s="1" t="s">
        <v>2681</v>
      </c>
      <c r="F1040" s="1" t="str">
        <f>"30199    "</f>
        <v xml:space="preserve">30199    </v>
      </c>
      <c r="G1040" s="1" t="str">
        <f>"4043811000"</f>
        <v>4043811000</v>
      </c>
      <c r="H1040" s="1" t="s">
        <v>2637</v>
      </c>
    </row>
    <row r="1041" spans="1:8" x14ac:dyDescent="0.25">
      <c r="A1041" s="1" t="str">
        <f>"479  "</f>
        <v xml:space="preserve">479  </v>
      </c>
      <c r="B1041" s="1" t="s">
        <v>2122</v>
      </c>
      <c r="C1041" s="1" t="s">
        <v>2123</v>
      </c>
      <c r="D1041" s="1" t="s">
        <v>2997</v>
      </c>
      <c r="E1041" s="1" t="s">
        <v>2714</v>
      </c>
      <c r="F1041" s="1" t="str">
        <f>"44087    "</f>
        <v xml:space="preserve">44087    </v>
      </c>
      <c r="G1041" s="1" t="str">
        <f>"8004334893"</f>
        <v>8004334893</v>
      </c>
      <c r="H1041" s="1" t="s">
        <v>2637</v>
      </c>
    </row>
    <row r="1042" spans="1:8" x14ac:dyDescent="0.25">
      <c r="A1042" s="1" t="str">
        <f>"942  "</f>
        <v xml:space="preserve">942  </v>
      </c>
      <c r="B1042" s="1" t="s">
        <v>21</v>
      </c>
      <c r="C1042" s="1" t="s">
        <v>22</v>
      </c>
      <c r="D1042" s="1" t="s">
        <v>2442</v>
      </c>
      <c r="E1042" s="1" t="s">
        <v>3264</v>
      </c>
      <c r="F1042" s="1" t="str">
        <f>"503060357"</f>
        <v>503060357</v>
      </c>
      <c r="G1042" s="1" t="str">
        <f>"8002474695"</f>
        <v>8002474695</v>
      </c>
      <c r="H1042" s="1" t="s">
        <v>2637</v>
      </c>
    </row>
    <row r="1043" spans="1:8" x14ac:dyDescent="0.25">
      <c r="A1043" s="1" t="str">
        <f>"817  "</f>
        <v xml:space="preserve">817  </v>
      </c>
      <c r="B1043" s="1" t="s">
        <v>1529</v>
      </c>
      <c r="C1043" s="1" t="str">
        <f>"1231 E BELTLINE NE                                "</f>
        <v xml:space="preserve">1231 E BELTLINE NE                                </v>
      </c>
      <c r="D1043" s="1" t="s">
        <v>2643</v>
      </c>
      <c r="E1043" s="1" t="s">
        <v>2644</v>
      </c>
      <c r="F1043" s="1" t="str">
        <f>"495254501"</f>
        <v>495254501</v>
      </c>
      <c r="G1043" s="1" t="str">
        <f>"8004465674"</f>
        <v>8004465674</v>
      </c>
      <c r="H1043" s="1" t="s">
        <v>2637</v>
      </c>
    </row>
    <row r="1044" spans="1:8" x14ac:dyDescent="0.25">
      <c r="A1044" s="1" t="str">
        <f>"940  "</f>
        <v xml:space="preserve">940  </v>
      </c>
      <c r="B1044" s="1" t="s">
        <v>1644</v>
      </c>
      <c r="C1044" s="1" t="s">
        <v>1645</v>
      </c>
      <c r="D1044" s="1" t="s">
        <v>2959</v>
      </c>
      <c r="E1044" s="1" t="s">
        <v>2786</v>
      </c>
      <c r="F1044" s="1" t="str">
        <f>"600172914"</f>
        <v>600172914</v>
      </c>
      <c r="G1044" s="1" t="str">
        <f>"8005317662"</f>
        <v>8005317662</v>
      </c>
      <c r="H1044" s="1" t="s">
        <v>1646</v>
      </c>
    </row>
    <row r="1045" spans="1:8" x14ac:dyDescent="0.25">
      <c r="A1045" s="1" t="s">
        <v>1841</v>
      </c>
      <c r="B1045" s="1" t="s">
        <v>1842</v>
      </c>
      <c r="C1045" s="1" t="str">
        <f>"3090 PREMIERE PARKWAY, STE 100                    "</f>
        <v xml:space="preserve">3090 PREMIERE PARKWAY, STE 100                    </v>
      </c>
      <c r="D1045" s="1" t="s">
        <v>2867</v>
      </c>
      <c r="E1045" s="1" t="s">
        <v>2681</v>
      </c>
      <c r="F1045" s="1" t="str">
        <f>"30097    "</f>
        <v xml:space="preserve">30097    </v>
      </c>
      <c r="G1045" s="1" t="str">
        <f>"8006993542"</f>
        <v>8006993542</v>
      </c>
      <c r="H1045" s="1" t="s">
        <v>2637</v>
      </c>
    </row>
    <row r="1046" spans="1:8" x14ac:dyDescent="0.25">
      <c r="A1046" s="1" t="str">
        <f>"578  "</f>
        <v xml:space="preserve">578  </v>
      </c>
      <c r="B1046" s="1" t="s">
        <v>2520</v>
      </c>
      <c r="C1046" s="1" t="str">
        <f>"3751 MAGUIRE BLVD. STE. 100                       "</f>
        <v xml:space="preserve">3751 MAGUIRE BLVD. STE. 100                       </v>
      </c>
      <c r="D1046" s="1" t="s">
        <v>3257</v>
      </c>
      <c r="E1046" s="1" t="s">
        <v>2832</v>
      </c>
      <c r="F1046" s="1" t="str">
        <f>"32814    "</f>
        <v xml:space="preserve">32814    </v>
      </c>
      <c r="G1046" s="1" t="str">
        <f>"8007410521"</f>
        <v>8007410521</v>
      </c>
      <c r="H1046" s="1" t="s">
        <v>2637</v>
      </c>
    </row>
    <row r="1047" spans="1:8" x14ac:dyDescent="0.25">
      <c r="A1047" s="1" t="str">
        <f>"965  "</f>
        <v xml:space="preserve">965  </v>
      </c>
      <c r="B1047" s="1" t="s">
        <v>675</v>
      </c>
      <c r="C1047" s="1" t="s">
        <v>676</v>
      </c>
      <c r="D1047" s="1" t="s">
        <v>1197</v>
      </c>
      <c r="E1047" s="1" t="s">
        <v>2786</v>
      </c>
      <c r="F1047" s="1" t="str">
        <f>"605223755"</f>
        <v>605223755</v>
      </c>
      <c r="G1047" s="1" t="str">
        <f>"6306553755"</f>
        <v>6306553755</v>
      </c>
      <c r="H1047" s="1" t="s">
        <v>2637</v>
      </c>
    </row>
    <row r="1048" spans="1:8" x14ac:dyDescent="0.25">
      <c r="A1048" s="1" t="s">
        <v>1012</v>
      </c>
      <c r="B1048" s="1" t="s">
        <v>1013</v>
      </c>
      <c r="C1048" s="1" t="s">
        <v>1014</v>
      </c>
      <c r="D1048" s="1" t="s">
        <v>2246</v>
      </c>
      <c r="E1048" s="1" t="s">
        <v>2714</v>
      </c>
      <c r="F1048" s="1" t="str">
        <f>"443155276"</f>
        <v>443155276</v>
      </c>
      <c r="G1048" s="1" t="str">
        <f>"8003258424"</f>
        <v>8003258424</v>
      </c>
      <c r="H1048" s="1" t="s">
        <v>2637</v>
      </c>
    </row>
    <row r="1049" spans="1:8" x14ac:dyDescent="0.25">
      <c r="A1049" s="1" t="s">
        <v>631</v>
      </c>
      <c r="B1049" s="1" t="s">
        <v>1013</v>
      </c>
      <c r="C1049" s="1" t="s">
        <v>1014</v>
      </c>
      <c r="D1049" s="1" t="s">
        <v>2246</v>
      </c>
      <c r="E1049" s="1" t="s">
        <v>2714</v>
      </c>
      <c r="F1049" s="1" t="str">
        <f>"443155276"</f>
        <v>443155276</v>
      </c>
      <c r="G1049" s="1" t="str">
        <f>"8003258424"</f>
        <v>8003258424</v>
      </c>
      <c r="H1049" s="1" t="s">
        <v>2637</v>
      </c>
    </row>
    <row r="1050" spans="1:8" x14ac:dyDescent="0.25">
      <c r="A1050" s="1" t="str">
        <f>"316  "</f>
        <v xml:space="preserve">316  </v>
      </c>
      <c r="B1050" s="1" t="s">
        <v>123</v>
      </c>
      <c r="C1050" s="1" t="str">
        <f>"2610 WYCLIFF RD                                   "</f>
        <v xml:space="preserve">2610 WYCLIFF RD                                   </v>
      </c>
      <c r="D1050" s="1" t="s">
        <v>2067</v>
      </c>
      <c r="E1050" s="1" t="s">
        <v>2677</v>
      </c>
      <c r="F1050" s="1" t="str">
        <f>"27607    "</f>
        <v xml:space="preserve">27607    </v>
      </c>
      <c r="G1050" s="1" t="str">
        <f>"8002891122"</f>
        <v>8002891122</v>
      </c>
      <c r="H1050" s="1" t="s">
        <v>2637</v>
      </c>
    </row>
    <row r="1051" spans="1:8" x14ac:dyDescent="0.25">
      <c r="A1051" s="1" t="str">
        <f>"534  "</f>
        <v xml:space="preserve">534  </v>
      </c>
      <c r="B1051" s="1" t="s">
        <v>292</v>
      </c>
      <c r="C1051" s="1" t="s">
        <v>293</v>
      </c>
      <c r="D1051" s="1" t="s">
        <v>294</v>
      </c>
      <c r="E1051" s="1" t="s">
        <v>2667</v>
      </c>
      <c r="F1051" s="1" t="str">
        <f>"53187    "</f>
        <v xml:space="preserve">53187    </v>
      </c>
      <c r="G1051" s="1" t="str">
        <f>"2627844600"</f>
        <v>2627844600</v>
      </c>
      <c r="H1051" s="1" t="s">
        <v>2637</v>
      </c>
    </row>
    <row r="1052" spans="1:8" x14ac:dyDescent="0.25">
      <c r="A1052" s="1" t="s">
        <v>3092</v>
      </c>
      <c r="B1052" s="1" t="s">
        <v>3093</v>
      </c>
      <c r="C1052" s="1" t="s">
        <v>3094</v>
      </c>
      <c r="D1052" s="1" t="s">
        <v>3095</v>
      </c>
      <c r="E1052" s="1" t="s">
        <v>2749</v>
      </c>
      <c r="F1052" s="1" t="str">
        <f>"66201915 "</f>
        <v xml:space="preserve">66201915 </v>
      </c>
      <c r="G1052" s="1" t="str">
        <f>"8007535133"</f>
        <v>8007535133</v>
      </c>
      <c r="H1052" s="1" t="s">
        <v>2637</v>
      </c>
    </row>
    <row r="1053" spans="1:8" x14ac:dyDescent="0.25">
      <c r="A1053" s="1" t="str">
        <f>"485  "</f>
        <v xml:space="preserve">485  </v>
      </c>
      <c r="B1053" s="1" t="s">
        <v>337</v>
      </c>
      <c r="C1053" s="1" t="s">
        <v>338</v>
      </c>
      <c r="D1053" s="1" t="s">
        <v>2126</v>
      </c>
      <c r="E1053" s="1" t="s">
        <v>2127</v>
      </c>
      <c r="F1053" s="1" t="str">
        <f>"972083125"</f>
        <v>972083125</v>
      </c>
      <c r="G1053" s="1" t="str">
        <f>"8006283912"</f>
        <v>8006283912</v>
      </c>
      <c r="H1053" s="1" t="s">
        <v>2688</v>
      </c>
    </row>
    <row r="1054" spans="1:8" x14ac:dyDescent="0.25">
      <c r="A1054" s="1" t="str">
        <f>"381  "</f>
        <v xml:space="preserve">381  </v>
      </c>
      <c r="B1054" s="1" t="s">
        <v>565</v>
      </c>
      <c r="C1054" s="1" t="s">
        <v>566</v>
      </c>
      <c r="D1054" s="1" t="s">
        <v>567</v>
      </c>
      <c r="E1054" s="1" t="s">
        <v>2697</v>
      </c>
      <c r="F1054" s="1" t="str">
        <f>"19404    "</f>
        <v xml:space="preserve">19404    </v>
      </c>
      <c r="G1054" s="1" t="str">
        <f>"8005199175"</f>
        <v>8005199175</v>
      </c>
      <c r="H1054" s="1" t="s">
        <v>2637</v>
      </c>
    </row>
    <row r="1055" spans="1:8" x14ac:dyDescent="0.25">
      <c r="A1055" s="1" t="str">
        <f>"110RX"</f>
        <v>110RX</v>
      </c>
      <c r="B1055" s="1" t="s">
        <v>2018</v>
      </c>
      <c r="C1055" s="1" t="s">
        <v>2019</v>
      </c>
      <c r="D1055" s="1" t="s">
        <v>2985</v>
      </c>
      <c r="E1055" s="1" t="s">
        <v>2636</v>
      </c>
      <c r="F1055" s="1" t="str">
        <f>"78268    "</f>
        <v xml:space="preserve">78268    </v>
      </c>
      <c r="G1055" s="1" t="str">
        <f>"8008415550"</f>
        <v>8008415550</v>
      </c>
      <c r="H1055" s="1" t="s">
        <v>2020</v>
      </c>
    </row>
    <row r="1056" spans="1:8" x14ac:dyDescent="0.25">
      <c r="A1056" s="1" t="str">
        <f>"328  "</f>
        <v xml:space="preserve">328  </v>
      </c>
      <c r="B1056" s="1" t="s">
        <v>920</v>
      </c>
      <c r="C1056" s="1" t="s">
        <v>921</v>
      </c>
      <c r="D1056" s="1" t="s">
        <v>2465</v>
      </c>
      <c r="E1056" s="1" t="s">
        <v>2636</v>
      </c>
      <c r="F1056" s="1" t="str">
        <f>"76163    "</f>
        <v xml:space="preserve">76163    </v>
      </c>
      <c r="G1056" s="1" t="str">
        <f>"8667747766"</f>
        <v>8667747766</v>
      </c>
      <c r="H1056" s="1" t="s">
        <v>3218</v>
      </c>
    </row>
    <row r="1057" spans="1:8" x14ac:dyDescent="0.25">
      <c r="A1057" s="1" t="str">
        <f>"111  "</f>
        <v xml:space="preserve">111  </v>
      </c>
      <c r="B1057" s="1" t="s">
        <v>317</v>
      </c>
      <c r="C1057" s="1" t="str">
        <f>"841 PRUDENTIAL DRIVE                              "</f>
        <v xml:space="preserve">841 PRUDENTIAL DRIVE                              </v>
      </c>
      <c r="D1057" s="1" t="s">
        <v>2834</v>
      </c>
      <c r="E1057" s="1" t="s">
        <v>2832</v>
      </c>
      <c r="F1057" s="1" t="str">
        <f>"32207    "</f>
        <v xml:space="preserve">32207    </v>
      </c>
      <c r="G1057" s="1" t="str">
        <f>"8003463778"</f>
        <v>8003463778</v>
      </c>
      <c r="H1057" s="1" t="s">
        <v>318</v>
      </c>
    </row>
    <row r="1058" spans="1:8" x14ac:dyDescent="0.25">
      <c r="A1058" s="1" t="str">
        <f>"251  "</f>
        <v xml:space="preserve">251  </v>
      </c>
      <c r="B1058" s="1" t="s">
        <v>1829</v>
      </c>
      <c r="C1058" s="1" t="s">
        <v>1830</v>
      </c>
      <c r="D1058" s="1" t="s">
        <v>3188</v>
      </c>
      <c r="E1058" s="1" t="s">
        <v>2832</v>
      </c>
      <c r="F1058" s="1" t="str">
        <f>"325912922"</f>
        <v>325912922</v>
      </c>
      <c r="G1058" s="1" t="str">
        <f>"8006581413"</f>
        <v>8006581413</v>
      </c>
      <c r="H1058" s="1" t="s">
        <v>1831</v>
      </c>
    </row>
    <row r="1059" spans="1:8" x14ac:dyDescent="0.25">
      <c r="A1059" s="1" t="s">
        <v>2283</v>
      </c>
      <c r="B1059" s="1" t="s">
        <v>2284</v>
      </c>
      <c r="C1059" s="1" t="s">
        <v>2285</v>
      </c>
      <c r="D1059" s="1" t="s">
        <v>2160</v>
      </c>
      <c r="E1059" s="1" t="s">
        <v>2832</v>
      </c>
      <c r="F1059" s="1" t="str">
        <f>"327958465"</f>
        <v>327958465</v>
      </c>
      <c r="G1059" s="1" t="str">
        <f>"4076281776"</f>
        <v>4076281776</v>
      </c>
      <c r="H1059" s="1" t="s">
        <v>2795</v>
      </c>
    </row>
    <row r="1060" spans="1:8" x14ac:dyDescent="0.25">
      <c r="A1060" s="1" t="str">
        <f>"230  "</f>
        <v xml:space="preserve">230  </v>
      </c>
      <c r="B1060" s="1" t="s">
        <v>441</v>
      </c>
      <c r="C1060" s="1" t="s">
        <v>442</v>
      </c>
      <c r="D1060" s="1" t="s">
        <v>3095</v>
      </c>
      <c r="E1060" s="1" t="s">
        <v>2749</v>
      </c>
      <c r="F1060" s="1" t="str">
        <f>"66201    "</f>
        <v xml:space="preserve">66201    </v>
      </c>
      <c r="G1060" s="1" t="str">
        <f>"8004440321"</f>
        <v>8004440321</v>
      </c>
      <c r="H1060" s="1" t="s">
        <v>2637</v>
      </c>
    </row>
    <row r="1061" spans="1:8" x14ac:dyDescent="0.25">
      <c r="A1061" s="1" t="str">
        <f>"221  "</f>
        <v xml:space="preserve">221  </v>
      </c>
      <c r="B1061" s="1" t="s">
        <v>1930</v>
      </c>
      <c r="C1061" s="1" t="s">
        <v>1931</v>
      </c>
      <c r="D1061" s="1" t="s">
        <v>1932</v>
      </c>
      <c r="E1061" s="1" t="s">
        <v>2821</v>
      </c>
      <c r="F1061" s="1" t="str">
        <f>"08855    "</f>
        <v xml:space="preserve">08855    </v>
      </c>
      <c r="G1061" s="1" t="str">
        <f>"8009926613"</f>
        <v>8009926613</v>
      </c>
      <c r="H1061" s="1" t="s">
        <v>2688</v>
      </c>
    </row>
    <row r="1062" spans="1:8" x14ac:dyDescent="0.25">
      <c r="A1062" s="1" t="s">
        <v>230</v>
      </c>
      <c r="B1062" s="1" t="s">
        <v>231</v>
      </c>
      <c r="C1062" s="1" t="s">
        <v>232</v>
      </c>
      <c r="D1062" s="1" t="s">
        <v>2943</v>
      </c>
      <c r="E1062" s="1" t="s">
        <v>2944</v>
      </c>
      <c r="F1062" s="1" t="str">
        <f>"722219914"</f>
        <v>722219914</v>
      </c>
      <c r="G1062" s="1" t="str">
        <f>"8002357111"</f>
        <v>8002357111</v>
      </c>
      <c r="H1062" s="1" t="s">
        <v>2637</v>
      </c>
    </row>
    <row r="1063" spans="1:8" x14ac:dyDescent="0.25">
      <c r="A1063" s="1" t="s">
        <v>477</v>
      </c>
      <c r="B1063" s="1" t="s">
        <v>478</v>
      </c>
      <c r="C1063" s="1" t="s">
        <v>479</v>
      </c>
      <c r="D1063" s="1" t="s">
        <v>480</v>
      </c>
      <c r="E1063" s="1" t="s">
        <v>2127</v>
      </c>
      <c r="F1063" s="1" t="str">
        <f>"970150286"</f>
        <v>970150286</v>
      </c>
      <c r="G1063" s="1" t="str">
        <f>"8005685628"</f>
        <v>8005685628</v>
      </c>
      <c r="H1063" s="1" t="s">
        <v>2240</v>
      </c>
    </row>
    <row r="1064" spans="1:8" x14ac:dyDescent="0.25">
      <c r="A1064" s="1" t="s">
        <v>1509</v>
      </c>
      <c r="B1064" s="1" t="s">
        <v>1510</v>
      </c>
      <c r="C1064" s="1" t="s">
        <v>2543</v>
      </c>
      <c r="D1064" s="1" t="s">
        <v>1511</v>
      </c>
      <c r="E1064" s="1" t="s">
        <v>2127</v>
      </c>
      <c r="F1064" s="1" t="str">
        <f>"97309    "</f>
        <v xml:space="preserve">97309    </v>
      </c>
      <c r="G1064" s="1" t="str">
        <f>"8884371508"</f>
        <v>8884371508</v>
      </c>
      <c r="H1064" s="1" t="s">
        <v>1512</v>
      </c>
    </row>
    <row r="1065" spans="1:8" x14ac:dyDescent="0.25">
      <c r="A1065" s="1" t="s">
        <v>1268</v>
      </c>
      <c r="B1065" s="1" t="s">
        <v>1510</v>
      </c>
      <c r="C1065" s="1" t="s">
        <v>1269</v>
      </c>
      <c r="D1065" s="1" t="s">
        <v>2544</v>
      </c>
      <c r="E1065" s="1" t="s">
        <v>2127</v>
      </c>
      <c r="F1065" s="1" t="str">
        <f>"97309    "</f>
        <v xml:space="preserve">97309    </v>
      </c>
      <c r="G1065" s="1" t="str">
        <f>"8884371508"</f>
        <v>8884371508</v>
      </c>
      <c r="H1065" s="1" t="s">
        <v>1270</v>
      </c>
    </row>
    <row r="1066" spans="1:8" x14ac:dyDescent="0.25">
      <c r="A1066" s="1" t="s">
        <v>2541</v>
      </c>
      <c r="B1066" s="1" t="s">
        <v>2542</v>
      </c>
      <c r="C1066" s="1" t="s">
        <v>2543</v>
      </c>
      <c r="D1066" s="1" t="s">
        <v>2544</v>
      </c>
      <c r="E1066" s="1" t="s">
        <v>2127</v>
      </c>
      <c r="F1066" s="1" t="str">
        <f>"97309    "</f>
        <v xml:space="preserve">97309    </v>
      </c>
      <c r="G1066" s="1" t="str">
        <f>"8884371508"</f>
        <v>8884371508</v>
      </c>
      <c r="H1066" s="1" t="s">
        <v>2545</v>
      </c>
    </row>
    <row r="1067" spans="1:8" x14ac:dyDescent="0.25">
      <c r="A1067" s="1" t="s">
        <v>1163</v>
      </c>
      <c r="B1067" s="1" t="s">
        <v>1164</v>
      </c>
      <c r="C1067" s="1" t="s">
        <v>1165</v>
      </c>
      <c r="D1067" s="1" t="s">
        <v>2126</v>
      </c>
      <c r="E1067" s="1" t="s">
        <v>2127</v>
      </c>
      <c r="F1067" s="1" t="str">
        <f>"97207    "</f>
        <v xml:space="preserve">97207    </v>
      </c>
      <c r="G1067" s="1" t="str">
        <f>"5032255221"</f>
        <v>5032255221</v>
      </c>
      <c r="H1067" s="1" t="s">
        <v>2637</v>
      </c>
    </row>
    <row r="1068" spans="1:8" x14ac:dyDescent="0.25">
      <c r="A1068" s="1" t="str">
        <f>"795  "</f>
        <v xml:space="preserve">795  </v>
      </c>
      <c r="B1068" s="1" t="s">
        <v>964</v>
      </c>
      <c r="C1068" s="1" t="s">
        <v>965</v>
      </c>
      <c r="D1068" s="1" t="s">
        <v>966</v>
      </c>
      <c r="E1068" s="1" t="s">
        <v>2677</v>
      </c>
      <c r="F1068" s="1" t="str">
        <f>"272150901"</f>
        <v>272150901</v>
      </c>
      <c r="G1068" s="1" t="str">
        <f>"3362267950"</f>
        <v>3362267950</v>
      </c>
      <c r="H1068" s="1" t="s">
        <v>2637</v>
      </c>
    </row>
    <row r="1069" spans="1:8" x14ac:dyDescent="0.25">
      <c r="A1069" s="1" t="str">
        <f>"187  "</f>
        <v xml:space="preserve">187  </v>
      </c>
      <c r="B1069" s="1" t="s">
        <v>1207</v>
      </c>
      <c r="C1069" s="1" t="s">
        <v>1208</v>
      </c>
      <c r="D1069" s="1" t="s">
        <v>1381</v>
      </c>
      <c r="E1069" s="1" t="s">
        <v>2862</v>
      </c>
      <c r="F1069" s="1" t="str">
        <f>"68501    "</f>
        <v xml:space="preserve">68501    </v>
      </c>
      <c r="G1069" s="1" t="str">
        <f>"8004977044"</f>
        <v>8004977044</v>
      </c>
      <c r="H1069" s="1" t="s">
        <v>2637</v>
      </c>
    </row>
    <row r="1070" spans="1:8" x14ac:dyDescent="0.25">
      <c r="A1070" s="1" t="s">
        <v>2702</v>
      </c>
      <c r="B1070" s="1" t="s">
        <v>2703</v>
      </c>
      <c r="C1070" s="1" t="s">
        <v>2704</v>
      </c>
      <c r="D1070" s="1" t="s">
        <v>2705</v>
      </c>
      <c r="E1070" s="1" t="s">
        <v>2706</v>
      </c>
      <c r="F1070" s="1" t="str">
        <f>"46217    "</f>
        <v xml:space="preserve">46217    </v>
      </c>
      <c r="G1070" s="1" t="str">
        <f>"8883589484"</f>
        <v>8883589484</v>
      </c>
      <c r="H1070" s="1" t="s">
        <v>2637</v>
      </c>
    </row>
    <row r="1071" spans="1:8" x14ac:dyDescent="0.25">
      <c r="A1071" s="1" t="str">
        <f>"296  "</f>
        <v xml:space="preserve">296  </v>
      </c>
      <c r="B1071" s="1" t="s">
        <v>2191</v>
      </c>
      <c r="C1071" s="1" t="s">
        <v>2192</v>
      </c>
      <c r="D1071" s="1" t="s">
        <v>2884</v>
      </c>
      <c r="E1071" s="1" t="s">
        <v>2885</v>
      </c>
      <c r="F1071" s="1" t="str">
        <f>"73126    "</f>
        <v xml:space="preserve">73126    </v>
      </c>
      <c r="G1071" s="1" t="str">
        <f>"8006549106"</f>
        <v>8006549106</v>
      </c>
      <c r="H1071" s="1" t="s">
        <v>2637</v>
      </c>
    </row>
    <row r="1072" spans="1:8" x14ac:dyDescent="0.25">
      <c r="A1072" s="1" t="str">
        <f>"375  "</f>
        <v xml:space="preserve">375  </v>
      </c>
      <c r="B1072" s="1" t="s">
        <v>3165</v>
      </c>
      <c r="C1072" s="1" t="str">
        <f>"11900 WEST LAKE PARK DRIVE                        "</f>
        <v xml:space="preserve">11900 WEST LAKE PARK DRIVE                        </v>
      </c>
      <c r="D1072" s="1" t="s">
        <v>3166</v>
      </c>
      <c r="E1072" s="1" t="s">
        <v>2667</v>
      </c>
      <c r="F1072" s="1" t="str">
        <f>"53224    "</f>
        <v xml:space="preserve">53224    </v>
      </c>
      <c r="G1072" s="1" t="str">
        <f>"8002481062"</f>
        <v>8002481062</v>
      </c>
      <c r="H1072" s="1" t="s">
        <v>2637</v>
      </c>
    </row>
    <row r="1073" spans="1:8" x14ac:dyDescent="0.25">
      <c r="A1073" s="1" t="s">
        <v>1204</v>
      </c>
      <c r="B1073" s="1" t="s">
        <v>1205</v>
      </c>
      <c r="C1073" s="1" t="s">
        <v>2900</v>
      </c>
      <c r="D1073" s="1" t="s">
        <v>1206</v>
      </c>
      <c r="E1073" s="1" t="s">
        <v>2714</v>
      </c>
      <c r="F1073" s="1" t="str">
        <f>"45401    "</f>
        <v xml:space="preserve">45401    </v>
      </c>
      <c r="G1073" s="1" t="str">
        <f>"8007363539"</f>
        <v>8007363539</v>
      </c>
      <c r="H1073" s="1" t="s">
        <v>2760</v>
      </c>
    </row>
    <row r="1074" spans="1:8" x14ac:dyDescent="0.25">
      <c r="A1074" s="1" t="str">
        <f>"689  "</f>
        <v xml:space="preserve">689  </v>
      </c>
      <c r="B1074" s="1" t="s">
        <v>303</v>
      </c>
      <c r="C1074" s="1" t="str">
        <f>"-                                                 "</f>
        <v xml:space="preserve">-                                                 </v>
      </c>
      <c r="D1074" s="1" t="str">
        <f>"-                                      "</f>
        <v xml:space="preserve">-                                      </v>
      </c>
      <c r="E1074" s="1" t="str">
        <f>"- "</f>
        <v xml:space="preserve">- </v>
      </c>
      <c r="F1074" s="1" t="str">
        <f>"-        "</f>
        <v xml:space="preserve">-        </v>
      </c>
      <c r="G1074" s="1" t="s">
        <v>2637</v>
      </c>
      <c r="H1074" s="1" t="s">
        <v>2637</v>
      </c>
    </row>
    <row r="1075" spans="1:8" x14ac:dyDescent="0.25">
      <c r="A1075" s="1" t="str">
        <f>"398  "</f>
        <v xml:space="preserve">398  </v>
      </c>
      <c r="B1075" s="1" t="s">
        <v>916</v>
      </c>
      <c r="C1075" s="1" t="str">
        <f>"12250 WEBER HILL RD. STE 100                      "</f>
        <v xml:space="preserve">12250 WEBER HILL RD. STE 100                      </v>
      </c>
      <c r="D1075" s="1" t="s">
        <v>917</v>
      </c>
      <c r="E1075" s="1" t="s">
        <v>2670</v>
      </c>
      <c r="F1075" s="1" t="str">
        <f>"63127    "</f>
        <v xml:space="preserve">63127    </v>
      </c>
      <c r="G1075" s="1" t="str">
        <f>"8003659036"</f>
        <v>8003659036</v>
      </c>
      <c r="H1075" s="1" t="s">
        <v>2688</v>
      </c>
    </row>
    <row r="1076" spans="1:8" x14ac:dyDescent="0.25">
      <c r="A1076" s="1" t="str">
        <f>"214  "</f>
        <v xml:space="preserve">214  </v>
      </c>
      <c r="B1076" s="1" t="s">
        <v>3167</v>
      </c>
      <c r="C1076" s="1" t="s">
        <v>3168</v>
      </c>
      <c r="D1076" s="1" t="s">
        <v>3169</v>
      </c>
      <c r="E1076" s="1" t="s">
        <v>3170</v>
      </c>
      <c r="F1076" s="1" t="str">
        <f>"99524    "</f>
        <v xml:space="preserve">99524    </v>
      </c>
      <c r="G1076" s="1" t="str">
        <f>"8007703740"</f>
        <v>8007703740</v>
      </c>
      <c r="H1076" s="1" t="s">
        <v>2637</v>
      </c>
    </row>
    <row r="1077" spans="1:8" x14ac:dyDescent="0.25">
      <c r="A1077" s="1" t="str">
        <f>"546  "</f>
        <v xml:space="preserve">546  </v>
      </c>
      <c r="B1077" s="1" t="s">
        <v>725</v>
      </c>
      <c r="C1077" s="1" t="s">
        <v>726</v>
      </c>
      <c r="D1077" s="1" t="s">
        <v>727</v>
      </c>
      <c r="E1077" s="1" t="s">
        <v>2773</v>
      </c>
      <c r="F1077" s="1" t="str">
        <f>"13217    "</f>
        <v xml:space="preserve">13217    </v>
      </c>
      <c r="G1077" s="1" t="str">
        <f>"3154489228"</f>
        <v>3154489228</v>
      </c>
      <c r="H1077" s="1" t="s">
        <v>2637</v>
      </c>
    </row>
    <row r="1078" spans="1:8" x14ac:dyDescent="0.25">
      <c r="A1078" s="1" t="s">
        <v>1889</v>
      </c>
      <c r="B1078" s="1" t="s">
        <v>1777</v>
      </c>
      <c r="C1078" s="1" t="s">
        <v>1778</v>
      </c>
      <c r="D1078" s="1" t="s">
        <v>1779</v>
      </c>
      <c r="E1078" s="1" t="s">
        <v>2773</v>
      </c>
      <c r="F1078" s="1" t="str">
        <f>"130880678"</f>
        <v>130880678</v>
      </c>
      <c r="G1078" s="1" t="str">
        <f>"8772047086"</f>
        <v>8772047086</v>
      </c>
      <c r="H1078" s="1" t="s">
        <v>2637</v>
      </c>
    </row>
    <row r="1079" spans="1:8" x14ac:dyDescent="0.25">
      <c r="A1079" s="1" t="s">
        <v>1776</v>
      </c>
      <c r="B1079" s="1" t="s">
        <v>1777</v>
      </c>
      <c r="C1079" s="1" t="s">
        <v>1778</v>
      </c>
      <c r="D1079" s="1" t="s">
        <v>1779</v>
      </c>
      <c r="E1079" s="1" t="s">
        <v>2773</v>
      </c>
      <c r="F1079" s="1" t="str">
        <f>"130880678"</f>
        <v>130880678</v>
      </c>
      <c r="G1079" s="1" t="str">
        <f>"8772047086"</f>
        <v>8772047086</v>
      </c>
      <c r="H1079" s="1" t="s">
        <v>2637</v>
      </c>
    </row>
    <row r="1080" spans="1:8" x14ac:dyDescent="0.25">
      <c r="A1080" s="1" t="str">
        <f>"218  "</f>
        <v xml:space="preserve">218  </v>
      </c>
      <c r="B1080" s="1" t="s">
        <v>1668</v>
      </c>
      <c r="C1080" s="1" t="s">
        <v>1669</v>
      </c>
      <c r="D1080" s="1" t="s">
        <v>2596</v>
      </c>
      <c r="E1080" s="1" t="s">
        <v>2826</v>
      </c>
      <c r="F1080" s="1" t="str">
        <f>"80155    "</f>
        <v xml:space="preserve">80155    </v>
      </c>
      <c r="G1080" s="1" t="str">
        <f>"8884792000"</f>
        <v>8884792000</v>
      </c>
      <c r="H1080" s="1" t="s">
        <v>2637</v>
      </c>
    </row>
    <row r="1081" spans="1:8" x14ac:dyDescent="0.25">
      <c r="A1081" s="1" t="str">
        <f>"278  "</f>
        <v xml:space="preserve">278  </v>
      </c>
      <c r="B1081" s="1" t="s">
        <v>2170</v>
      </c>
      <c r="C1081" s="1" t="s">
        <v>2171</v>
      </c>
      <c r="D1081" s="1" t="s">
        <v>2172</v>
      </c>
      <c r="E1081" s="1" t="s">
        <v>2826</v>
      </c>
      <c r="F1081" s="1" t="str">
        <f>"81502    "</f>
        <v xml:space="preserve">81502    </v>
      </c>
      <c r="G1081" s="1" t="str">
        <f>"8008544558"</f>
        <v>8008544558</v>
      </c>
      <c r="H1081" s="1" t="s">
        <v>2637</v>
      </c>
    </row>
    <row r="1082" spans="1:8" x14ac:dyDescent="0.25">
      <c r="A1082" s="1" t="str">
        <f>"762  "</f>
        <v xml:space="preserve">762  </v>
      </c>
      <c r="B1082" s="1" t="s">
        <v>3072</v>
      </c>
      <c r="C1082" s="1" t="s">
        <v>3073</v>
      </c>
      <c r="D1082" s="1" t="s">
        <v>3074</v>
      </c>
      <c r="E1082" s="1" t="s">
        <v>2832</v>
      </c>
      <c r="F1082" s="1" t="str">
        <f>"337578850"</f>
        <v>337578850</v>
      </c>
      <c r="G1082" s="1" t="str">
        <f>"8778158857"</f>
        <v>8778158857</v>
      </c>
      <c r="H1082" s="1" t="s">
        <v>2688</v>
      </c>
    </row>
    <row r="1083" spans="1:8" x14ac:dyDescent="0.25">
      <c r="A1083" s="1" t="str">
        <f>"406  "</f>
        <v xml:space="preserve">406  </v>
      </c>
      <c r="B1083" s="1" t="s">
        <v>332</v>
      </c>
      <c r="C1083" s="1" t="s">
        <v>333</v>
      </c>
      <c r="D1083" s="1" t="s">
        <v>2906</v>
      </c>
      <c r="E1083" s="1" t="s">
        <v>2677</v>
      </c>
      <c r="F1083" s="1" t="str">
        <f>"28266    "</f>
        <v xml:space="preserve">28266    </v>
      </c>
      <c r="G1083" s="1" t="str">
        <f>"8006388432"</f>
        <v>8006388432</v>
      </c>
      <c r="H1083" s="1" t="s">
        <v>2735</v>
      </c>
    </row>
    <row r="1084" spans="1:8" x14ac:dyDescent="0.25">
      <c r="A1084" s="1" t="s">
        <v>3153</v>
      </c>
      <c r="B1084" s="1" t="s">
        <v>3154</v>
      </c>
      <c r="C1084" s="1" t="str">
        <f>"221 N CHARLES LINDBERG DR                         "</f>
        <v xml:space="preserve">221 N CHARLES LINDBERG DR                         </v>
      </c>
      <c r="D1084" s="1" t="s">
        <v>2673</v>
      </c>
      <c r="E1084" s="1" t="s">
        <v>2674</v>
      </c>
      <c r="F1084" s="1" t="str">
        <f>"84116    "</f>
        <v xml:space="preserve">84116    </v>
      </c>
      <c r="G1084" s="1" t="str">
        <f>"8007708014"</f>
        <v>8007708014</v>
      </c>
      <c r="H1084" s="1" t="s">
        <v>2637</v>
      </c>
    </row>
    <row r="1085" spans="1:8" x14ac:dyDescent="0.25">
      <c r="A1085" s="1" t="s">
        <v>2493</v>
      </c>
      <c r="B1085" s="1" t="s">
        <v>2494</v>
      </c>
      <c r="C1085" s="1" t="s">
        <v>2495</v>
      </c>
      <c r="D1085" s="1" t="s">
        <v>2074</v>
      </c>
      <c r="E1085" s="1" t="s">
        <v>2636</v>
      </c>
      <c r="F1085" s="1" t="str">
        <f>"75093    "</f>
        <v xml:space="preserve">75093    </v>
      </c>
      <c r="G1085" s="1" t="str">
        <f>"8888797996"</f>
        <v>8888797996</v>
      </c>
      <c r="H1085" s="1" t="s">
        <v>2637</v>
      </c>
    </row>
    <row r="1086" spans="1:8" x14ac:dyDescent="0.25">
      <c r="A1086" s="1" t="s">
        <v>635</v>
      </c>
      <c r="B1086" s="1" t="s">
        <v>636</v>
      </c>
      <c r="C1086" s="1" t="s">
        <v>637</v>
      </c>
      <c r="D1086" s="1" t="s">
        <v>2701</v>
      </c>
      <c r="E1086" s="1" t="s">
        <v>2660</v>
      </c>
      <c r="F1086" s="1" t="str">
        <f>"29260    "</f>
        <v xml:space="preserve">29260    </v>
      </c>
      <c r="G1086" s="1" t="str">
        <f>"8037986207"</f>
        <v>8037986207</v>
      </c>
      <c r="H1086" s="1" t="s">
        <v>2637</v>
      </c>
    </row>
    <row r="1087" spans="1:8" x14ac:dyDescent="0.25">
      <c r="A1087" s="1" t="str">
        <f>"185  "</f>
        <v xml:space="preserve">185  </v>
      </c>
      <c r="B1087" s="1" t="s">
        <v>1211</v>
      </c>
      <c r="C1087" s="1" t="s">
        <v>1212</v>
      </c>
      <c r="D1087" s="1" t="s">
        <v>3070</v>
      </c>
      <c r="E1087" s="1" t="s">
        <v>2714</v>
      </c>
      <c r="F1087" s="1" t="str">
        <f>"45216    "</f>
        <v xml:space="preserve">45216    </v>
      </c>
      <c r="G1087" s="1" t="str">
        <f>"8888008717"</f>
        <v>8888008717</v>
      </c>
      <c r="H1087" s="1" t="s">
        <v>2637</v>
      </c>
    </row>
    <row r="1088" spans="1:8" x14ac:dyDescent="0.25">
      <c r="A1088" s="1" t="str">
        <f>"410  "</f>
        <v xml:space="preserve">410  </v>
      </c>
      <c r="B1088" s="1" t="s">
        <v>3059</v>
      </c>
      <c r="C1088" s="1" t="s">
        <v>3060</v>
      </c>
      <c r="D1088" s="1" t="s">
        <v>3061</v>
      </c>
      <c r="E1088" s="1" t="s">
        <v>2858</v>
      </c>
      <c r="F1088" s="1" t="str">
        <f>"981241699"</f>
        <v>981241699</v>
      </c>
      <c r="G1088" s="1" t="str">
        <f>"2068678000"</f>
        <v>2068678000</v>
      </c>
      <c r="H1088" s="1" t="s">
        <v>2637</v>
      </c>
    </row>
    <row r="1089" spans="1:8" x14ac:dyDescent="0.25">
      <c r="A1089" s="1" t="str">
        <f>"690  "</f>
        <v xml:space="preserve">690  </v>
      </c>
      <c r="B1089" s="1" t="s">
        <v>1977</v>
      </c>
      <c r="C1089" s="1" t="str">
        <f>"-                                                 "</f>
        <v xml:space="preserve">-                                                 </v>
      </c>
      <c r="D1089" s="1" t="str">
        <f>"-                                      "</f>
        <v xml:space="preserve">-                                      </v>
      </c>
      <c r="E1089" s="1" t="str">
        <f>"- "</f>
        <v xml:space="preserve">- </v>
      </c>
      <c r="F1089" s="1" t="str">
        <f>"-        "</f>
        <v xml:space="preserve">-        </v>
      </c>
      <c r="G1089" s="1" t="s">
        <v>2637</v>
      </c>
      <c r="H1089" s="1" t="s">
        <v>2637</v>
      </c>
    </row>
    <row r="1090" spans="1:8" x14ac:dyDescent="0.25">
      <c r="A1090" s="1" t="str">
        <f>"570  "</f>
        <v xml:space="preserve">570  </v>
      </c>
      <c r="B1090" s="1" t="s">
        <v>1239</v>
      </c>
      <c r="C1090" s="1" t="str">
        <f>"11301 OLD GEORGETOWN RD                           "</f>
        <v xml:space="preserve">11301 OLD GEORGETOWN RD                           </v>
      </c>
      <c r="D1090" s="1" t="s">
        <v>2755</v>
      </c>
      <c r="E1090" s="1" t="s">
        <v>2647</v>
      </c>
      <c r="F1090" s="1" t="str">
        <f>"20852    "</f>
        <v xml:space="preserve">20852    </v>
      </c>
      <c r="G1090" s="1" t="str">
        <f>"8006386589"</f>
        <v>8006386589</v>
      </c>
      <c r="H1090" s="1" t="s">
        <v>2637</v>
      </c>
    </row>
    <row r="1091" spans="1:8" x14ac:dyDescent="0.25">
      <c r="A1091" s="1" t="str">
        <f>"231  "</f>
        <v xml:space="preserve">231  </v>
      </c>
      <c r="B1091" s="1" t="s">
        <v>970</v>
      </c>
      <c r="C1091" s="1" t="str">
        <f>"8064 NORTH POINT BLVD SUITE 201                   "</f>
        <v xml:space="preserve">8064 NORTH POINT BLVD SUITE 201                   </v>
      </c>
      <c r="D1091" s="1" t="s">
        <v>2036</v>
      </c>
      <c r="E1091" s="1" t="s">
        <v>2677</v>
      </c>
      <c r="F1091" s="1" t="str">
        <f>"27106    "</f>
        <v xml:space="preserve">27106    </v>
      </c>
      <c r="G1091" s="1" t="str">
        <f>"8006420483"</f>
        <v>8006420483</v>
      </c>
      <c r="H1091" s="1" t="s">
        <v>2637</v>
      </c>
    </row>
    <row r="1092" spans="1:8" x14ac:dyDescent="0.25">
      <c r="A1092" s="1" t="str">
        <f>"489  "</f>
        <v xml:space="preserve">489  </v>
      </c>
      <c r="B1092" s="1" t="s">
        <v>604</v>
      </c>
      <c r="C1092" s="1" t="s">
        <v>605</v>
      </c>
      <c r="D1092" s="1" t="s">
        <v>606</v>
      </c>
      <c r="E1092" s="1" t="s">
        <v>2862</v>
      </c>
      <c r="F1092" s="1" t="str">
        <f>"68026    "</f>
        <v xml:space="preserve">68026    </v>
      </c>
      <c r="G1092" s="1" t="str">
        <f>"8003506714"</f>
        <v>8003506714</v>
      </c>
      <c r="H1092" s="1" t="s">
        <v>2637</v>
      </c>
    </row>
    <row r="1093" spans="1:8" x14ac:dyDescent="0.25">
      <c r="A1093" s="1" t="str">
        <f>"142  "</f>
        <v xml:space="preserve">142  </v>
      </c>
      <c r="B1093" s="1" t="s">
        <v>2340</v>
      </c>
      <c r="C1093" s="1" t="s">
        <v>2341</v>
      </c>
      <c r="D1093" s="1" t="s">
        <v>2701</v>
      </c>
      <c r="E1093" s="1" t="s">
        <v>2660</v>
      </c>
      <c r="F1093" s="1" t="str">
        <f>"29240    "</f>
        <v xml:space="preserve">29240    </v>
      </c>
      <c r="G1093" s="1" t="str">
        <f>"8038989795"</f>
        <v>8038989795</v>
      </c>
      <c r="H1093" s="1" t="s">
        <v>2688</v>
      </c>
    </row>
    <row r="1094" spans="1:8" x14ac:dyDescent="0.25">
      <c r="A1094" s="1" t="s">
        <v>771</v>
      </c>
      <c r="B1094" s="1" t="s">
        <v>772</v>
      </c>
      <c r="C1094" s="1" t="s">
        <v>773</v>
      </c>
      <c r="D1094" s="1" t="s">
        <v>774</v>
      </c>
      <c r="E1094" s="1" t="s">
        <v>2663</v>
      </c>
      <c r="F1094" s="1" t="str">
        <f>"915107830"</f>
        <v>915107830</v>
      </c>
      <c r="G1094" s="1" t="str">
        <f>"8007774013"</f>
        <v>8007774013</v>
      </c>
      <c r="H1094" s="1" t="s">
        <v>2760</v>
      </c>
    </row>
    <row r="1095" spans="1:8" x14ac:dyDescent="0.25">
      <c r="A1095" s="1" t="str">
        <f>"846  "</f>
        <v xml:space="preserve">846  </v>
      </c>
      <c r="B1095" s="1" t="s">
        <v>1794</v>
      </c>
      <c r="C1095" s="1" t="str">
        <f>"6380 FOLSOM DR                                    "</f>
        <v xml:space="preserve">6380 FOLSOM DR                                    </v>
      </c>
      <c r="D1095" s="1" t="s">
        <v>1795</v>
      </c>
      <c r="E1095" s="1" t="s">
        <v>2636</v>
      </c>
      <c r="F1095" s="1" t="str">
        <f>"77706    "</f>
        <v xml:space="preserve">77706    </v>
      </c>
      <c r="G1095" s="1" t="str">
        <f>"8008809988"</f>
        <v>8008809988</v>
      </c>
      <c r="H1095" s="1" t="s">
        <v>2637</v>
      </c>
    </row>
    <row r="1096" spans="1:8" x14ac:dyDescent="0.25">
      <c r="A1096" s="1" t="str">
        <f>"435  "</f>
        <v xml:space="preserve">435  </v>
      </c>
      <c r="B1096" s="1" t="s">
        <v>1173</v>
      </c>
      <c r="C1096" s="1" t="s">
        <v>1174</v>
      </c>
      <c r="D1096" s="1" t="s">
        <v>3157</v>
      </c>
      <c r="E1096" s="1" t="s">
        <v>2970</v>
      </c>
      <c r="F1096" s="1" t="str">
        <f>"37219    "</f>
        <v xml:space="preserve">37219    </v>
      </c>
      <c r="G1096" s="1" t="str">
        <f>"8005822498"</f>
        <v>8005822498</v>
      </c>
      <c r="H1096" s="1" t="s">
        <v>2637</v>
      </c>
    </row>
    <row r="1097" spans="1:8" x14ac:dyDescent="0.25">
      <c r="A1097" s="1" t="str">
        <f>"818  "</f>
        <v xml:space="preserve">818  </v>
      </c>
      <c r="B1097" s="1" t="s">
        <v>2780</v>
      </c>
      <c r="C1097" s="1" t="s">
        <v>2781</v>
      </c>
      <c r="D1097" s="1" t="s">
        <v>2782</v>
      </c>
      <c r="E1097" s="1" t="s">
        <v>2647</v>
      </c>
      <c r="F1097" s="1" t="str">
        <f>"20674    "</f>
        <v xml:space="preserve">20674    </v>
      </c>
      <c r="G1097" s="1" t="str">
        <f>"8002524674"</f>
        <v>8002524674</v>
      </c>
      <c r="H1097" s="1" t="s">
        <v>2637</v>
      </c>
    </row>
    <row r="1098" spans="1:8" x14ac:dyDescent="0.25">
      <c r="A1098" s="1" t="str">
        <f>"596  "</f>
        <v xml:space="preserve">596  </v>
      </c>
      <c r="B1098" s="1" t="s">
        <v>2308</v>
      </c>
      <c r="C1098" s="1" t="s">
        <v>2309</v>
      </c>
      <c r="D1098" s="1" t="s">
        <v>2985</v>
      </c>
      <c r="E1098" s="1" t="s">
        <v>2636</v>
      </c>
      <c r="F1098" s="1" t="str">
        <f>"782659787"</f>
        <v>782659787</v>
      </c>
      <c r="G1098" s="1" t="str">
        <f>"8665798811"</f>
        <v>8665798811</v>
      </c>
      <c r="H1098" s="1" t="s">
        <v>2795</v>
      </c>
    </row>
    <row r="1099" spans="1:8" x14ac:dyDescent="0.25">
      <c r="A1099" s="1" t="s">
        <v>1788</v>
      </c>
      <c r="B1099" s="1" t="s">
        <v>1789</v>
      </c>
      <c r="C1099" s="1" t="s">
        <v>1790</v>
      </c>
      <c r="D1099" s="1" t="s">
        <v>2673</v>
      </c>
      <c r="E1099" s="1" t="s">
        <v>2674</v>
      </c>
      <c r="F1099" s="1" t="str">
        <f>"84131    "</f>
        <v xml:space="preserve">84131    </v>
      </c>
      <c r="G1099" s="1" t="str">
        <f>"8665798774"</f>
        <v>8665798774</v>
      </c>
      <c r="H1099" s="1" t="s">
        <v>2795</v>
      </c>
    </row>
    <row r="1100" spans="1:8" x14ac:dyDescent="0.25">
      <c r="A1100" s="1" t="s">
        <v>1715</v>
      </c>
      <c r="B1100" s="1" t="s">
        <v>1716</v>
      </c>
      <c r="C1100" s="1" t="s">
        <v>1717</v>
      </c>
      <c r="D1100" s="1" t="s">
        <v>1718</v>
      </c>
      <c r="E1100" s="1" t="s">
        <v>2663</v>
      </c>
      <c r="F1100" s="1" t="str">
        <f>"927995032"</f>
        <v>927995032</v>
      </c>
      <c r="G1100" s="1" t="str">
        <f>"7148253828"</f>
        <v>7148253828</v>
      </c>
      <c r="H1100" s="1" t="s">
        <v>2795</v>
      </c>
    </row>
    <row r="1101" spans="1:8" x14ac:dyDescent="0.25">
      <c r="A1101" s="1" t="s">
        <v>3239</v>
      </c>
      <c r="B1101" s="1" t="s">
        <v>3240</v>
      </c>
      <c r="C1101" s="1" t="s">
        <v>3241</v>
      </c>
      <c r="D1101" s="1" t="s">
        <v>3188</v>
      </c>
      <c r="E1101" s="1" t="s">
        <v>2832</v>
      </c>
      <c r="F1101" s="1" t="str">
        <f>"325912466"</f>
        <v>325912466</v>
      </c>
      <c r="G1101" s="1" t="str">
        <f>"8882024340"</f>
        <v>8882024340</v>
      </c>
      <c r="H1101" s="1" t="s">
        <v>2795</v>
      </c>
    </row>
    <row r="1102" spans="1:8" x14ac:dyDescent="0.25">
      <c r="A1102" s="1" t="str">
        <f>"865  "</f>
        <v xml:space="preserve">865  </v>
      </c>
      <c r="B1102" s="1" t="s">
        <v>1390</v>
      </c>
      <c r="C1102" s="1" t="s">
        <v>1391</v>
      </c>
      <c r="D1102" s="1" t="s">
        <v>2901</v>
      </c>
      <c r="E1102" s="1" t="s">
        <v>2902</v>
      </c>
      <c r="F1102" s="1" t="str">
        <f>"554409385"</f>
        <v>554409385</v>
      </c>
      <c r="G1102" s="1" t="str">
        <f>"8002349009"</f>
        <v>8002349009</v>
      </c>
      <c r="H1102" s="1" t="str">
        <f>"            NAIC 93742                                                                                                                      "</f>
        <v xml:space="preserve">            NAIC 93742                                                                                                                      </v>
      </c>
    </row>
    <row r="1103" spans="1:8" x14ac:dyDescent="0.25">
      <c r="A1103" s="1" t="str">
        <f>"184  "</f>
        <v xml:space="preserve">184  </v>
      </c>
      <c r="B1103" s="1" t="s">
        <v>940</v>
      </c>
      <c r="C1103" s="1" t="s">
        <v>941</v>
      </c>
      <c r="D1103" s="1" t="s">
        <v>942</v>
      </c>
      <c r="E1103" s="1" t="s">
        <v>2677</v>
      </c>
      <c r="F1103" s="1" t="str">
        <f>"27102    "</f>
        <v xml:space="preserve">27102    </v>
      </c>
      <c r="G1103" s="1" t="str">
        <f>"8003009566"</f>
        <v>8003009566</v>
      </c>
      <c r="H1103" s="1" t="s">
        <v>2637</v>
      </c>
    </row>
    <row r="1104" spans="1:8" x14ac:dyDescent="0.25">
      <c r="A1104" s="1" t="s">
        <v>2452</v>
      </c>
      <c r="B1104" s="1" t="s">
        <v>2453</v>
      </c>
      <c r="C1104" s="1" t="s">
        <v>2454</v>
      </c>
      <c r="D1104" s="1" t="s">
        <v>2985</v>
      </c>
      <c r="E1104" s="1" t="s">
        <v>2636</v>
      </c>
      <c r="F1104" s="1" t="str">
        <f>"78279    "</f>
        <v xml:space="preserve">78279    </v>
      </c>
      <c r="G1104" s="1" t="str">
        <f>"8884458916"</f>
        <v>8884458916</v>
      </c>
      <c r="H1104" s="1" t="s">
        <v>2795</v>
      </c>
    </row>
    <row r="1105" spans="1:8" x14ac:dyDescent="0.25">
      <c r="A1105" s="1" t="s">
        <v>1993</v>
      </c>
      <c r="B1105" s="1" t="s">
        <v>1994</v>
      </c>
      <c r="C1105" s="1" t="s">
        <v>721</v>
      </c>
      <c r="D1105" s="1" t="s">
        <v>3163</v>
      </c>
      <c r="E1105" s="1" t="s">
        <v>2667</v>
      </c>
      <c r="F1105" s="1" t="str">
        <f>"54806    "</f>
        <v xml:space="preserve">54806    </v>
      </c>
      <c r="G1105" s="1" t="str">
        <f>"8004973699"</f>
        <v>8004973699</v>
      </c>
      <c r="H1105" s="1" t="s">
        <v>2637</v>
      </c>
    </row>
    <row r="1106" spans="1:8" x14ac:dyDescent="0.25">
      <c r="A1106" s="1" t="s">
        <v>247</v>
      </c>
      <c r="B1106" s="1" t="s">
        <v>1994</v>
      </c>
      <c r="C1106" s="1" t="s">
        <v>721</v>
      </c>
      <c r="D1106" s="1" t="s">
        <v>3163</v>
      </c>
      <c r="E1106" s="1" t="s">
        <v>2667</v>
      </c>
      <c r="F1106" s="1" t="str">
        <f>"54806    "</f>
        <v xml:space="preserve">54806    </v>
      </c>
      <c r="G1106" s="1" t="str">
        <f>"8004973699"</f>
        <v>8004973699</v>
      </c>
      <c r="H1106" s="1" t="s">
        <v>2637</v>
      </c>
    </row>
    <row r="1107" spans="1:8" x14ac:dyDescent="0.25">
      <c r="A1107" s="1" t="s">
        <v>1701</v>
      </c>
      <c r="B1107" s="1" t="s">
        <v>1702</v>
      </c>
      <c r="C1107" s="1" t="s">
        <v>1703</v>
      </c>
      <c r="D1107" s="1" t="s">
        <v>2673</v>
      </c>
      <c r="E1107" s="1" t="s">
        <v>2674</v>
      </c>
      <c r="F1107" s="1" t="str">
        <f>"84123    "</f>
        <v xml:space="preserve">84123    </v>
      </c>
      <c r="G1107" s="1" t="str">
        <f>"8005385038"</f>
        <v>8005385038</v>
      </c>
      <c r="H1107" s="1" t="s">
        <v>2637</v>
      </c>
    </row>
    <row r="1108" spans="1:8" x14ac:dyDescent="0.25">
      <c r="A1108" s="1" t="s">
        <v>1267</v>
      </c>
      <c r="B1108" s="1" t="s">
        <v>1702</v>
      </c>
      <c r="C1108" s="1" t="s">
        <v>3194</v>
      </c>
      <c r="D1108" s="1" t="s">
        <v>2791</v>
      </c>
      <c r="E1108" s="1" t="s">
        <v>2744</v>
      </c>
      <c r="F1108" s="1" t="str">
        <f>"40742    "</f>
        <v xml:space="preserve">40742    </v>
      </c>
      <c r="G1108" s="1" t="str">
        <f>"8882762020"</f>
        <v>8882762020</v>
      </c>
      <c r="H1108" s="1" t="s">
        <v>3105</v>
      </c>
    </row>
    <row r="1109" spans="1:8" x14ac:dyDescent="0.25">
      <c r="A1109" s="1" t="str">
        <f>"883  "</f>
        <v xml:space="preserve">883  </v>
      </c>
      <c r="B1109" s="1" t="s">
        <v>1289</v>
      </c>
      <c r="C1109" s="1" t="str">
        <f>"7410 NORTHSIDE DRIVE SUITE 208                    "</f>
        <v xml:space="preserve">7410 NORTHSIDE DRIVE SUITE 208                    </v>
      </c>
      <c r="D1109" s="1" t="s">
        <v>3013</v>
      </c>
      <c r="E1109" s="1" t="s">
        <v>2660</v>
      </c>
      <c r="F1109" s="1" t="str">
        <f>"29420    "</f>
        <v xml:space="preserve">29420    </v>
      </c>
      <c r="G1109" s="1" t="str">
        <f>"8435691759"</f>
        <v>8435691759</v>
      </c>
      <c r="H1109" s="1" t="s">
        <v>2735</v>
      </c>
    </row>
    <row r="1110" spans="1:8" x14ac:dyDescent="0.25">
      <c r="A1110" s="1" t="str">
        <f>"637  "</f>
        <v xml:space="preserve">637  </v>
      </c>
      <c r="B1110" s="1" t="s">
        <v>3193</v>
      </c>
      <c r="C1110" s="1" t="s">
        <v>3194</v>
      </c>
      <c r="D1110" s="1" t="s">
        <v>2791</v>
      </c>
      <c r="E1110" s="1" t="s">
        <v>2744</v>
      </c>
      <c r="F1110" s="1" t="str">
        <f>"40742    "</f>
        <v xml:space="preserve">40742    </v>
      </c>
      <c r="G1110" s="1" t="str">
        <f>"8882762020"</f>
        <v>8882762020</v>
      </c>
      <c r="H1110" s="1" t="s">
        <v>3195</v>
      </c>
    </row>
    <row r="1111" spans="1:8" x14ac:dyDescent="0.25">
      <c r="A1111" s="1" t="str">
        <f>"392  "</f>
        <v xml:space="preserve">392  </v>
      </c>
      <c r="B1111" s="1" t="s">
        <v>3171</v>
      </c>
      <c r="C1111" s="1" t="s">
        <v>3172</v>
      </c>
      <c r="D1111" s="1" t="s">
        <v>3173</v>
      </c>
      <c r="E1111" s="1" t="s">
        <v>2644</v>
      </c>
      <c r="F1111" s="1" t="str">
        <f>"490051790"</f>
        <v>490051790</v>
      </c>
      <c r="G1111" s="1" t="str">
        <f>"8003421895"</f>
        <v>8003421895</v>
      </c>
      <c r="H1111" s="1" t="s">
        <v>2637</v>
      </c>
    </row>
    <row r="1112" spans="1:8" x14ac:dyDescent="0.25">
      <c r="A1112" s="1" t="s">
        <v>542</v>
      </c>
      <c r="B1112" s="1" t="s">
        <v>543</v>
      </c>
      <c r="C1112" s="1" t="s">
        <v>544</v>
      </c>
      <c r="D1112" s="1" t="s">
        <v>545</v>
      </c>
      <c r="E1112" s="1" t="s">
        <v>2647</v>
      </c>
      <c r="F1112" s="1" t="str">
        <f>"21401    "</f>
        <v xml:space="preserve">21401    </v>
      </c>
      <c r="G1112" s="1" t="str">
        <f>"8004248622"</f>
        <v>8004248622</v>
      </c>
      <c r="H1112" s="1" t="s">
        <v>2637</v>
      </c>
    </row>
    <row r="1113" spans="1:8" x14ac:dyDescent="0.25">
      <c r="A1113" s="1" t="str">
        <f>"204  "</f>
        <v xml:space="preserve">204  </v>
      </c>
      <c r="B1113" s="1" t="s">
        <v>843</v>
      </c>
      <c r="C1113" s="1" t="str">
        <f>"18167 US HWY 19N                                  "</f>
        <v xml:space="preserve">18167 US HWY 19N                                  </v>
      </c>
      <c r="D1113" s="1" t="s">
        <v>3074</v>
      </c>
      <c r="E1113" s="1" t="s">
        <v>2832</v>
      </c>
      <c r="F1113" s="1" t="str">
        <f>"33764    "</f>
        <v xml:space="preserve">33764    </v>
      </c>
      <c r="G1113" s="1" t="str">
        <f>"7275320400"</f>
        <v>7275320400</v>
      </c>
      <c r="H1113" s="1" t="s">
        <v>2637</v>
      </c>
    </row>
    <row r="1114" spans="1:8" x14ac:dyDescent="0.25">
      <c r="A1114" s="1" t="str">
        <f>"229  "</f>
        <v xml:space="preserve">229  </v>
      </c>
      <c r="B1114" s="1" t="s">
        <v>2873</v>
      </c>
      <c r="C1114" s="1" t="str">
        <f>"1016 COLLIER CENTER WAY STE. 200                  "</f>
        <v xml:space="preserve">1016 COLLIER CENTER WAY STE. 200                  </v>
      </c>
      <c r="D1114" s="1" t="s">
        <v>2874</v>
      </c>
      <c r="E1114" s="1" t="s">
        <v>2663</v>
      </c>
      <c r="F1114" s="1" t="str">
        <f>"90080    "</f>
        <v xml:space="preserve">90080    </v>
      </c>
      <c r="G1114" s="1" t="str">
        <f>"8004212342"</f>
        <v>8004212342</v>
      </c>
      <c r="H1114" s="1" t="s">
        <v>2688</v>
      </c>
    </row>
    <row r="1115" spans="1:8" x14ac:dyDescent="0.25">
      <c r="A1115" s="1" t="str">
        <f>"378  "</f>
        <v xml:space="preserve">378  </v>
      </c>
      <c r="B1115" s="1" t="s">
        <v>2117</v>
      </c>
      <c r="C1115" s="1" t="str">
        <f>"2218 SOUTH PRIEST DRIVE                           "</f>
        <v xml:space="preserve">2218 SOUTH PRIEST DRIVE                           </v>
      </c>
      <c r="D1115" s="1" t="s">
        <v>2118</v>
      </c>
      <c r="E1115" s="1" t="s">
        <v>2809</v>
      </c>
      <c r="F1115" s="1" t="str">
        <f>"85282    "</f>
        <v xml:space="preserve">85282    </v>
      </c>
      <c r="G1115" s="1" t="s">
        <v>2637</v>
      </c>
      <c r="H1115" s="1" t="s">
        <v>2637</v>
      </c>
    </row>
    <row r="1116" spans="1:8" x14ac:dyDescent="0.25">
      <c r="A1116" s="1" t="str">
        <f>"744  "</f>
        <v xml:space="preserve">744  </v>
      </c>
      <c r="B1116" s="1" t="s">
        <v>2342</v>
      </c>
      <c r="C1116" s="1" t="s">
        <v>2343</v>
      </c>
      <c r="D1116" s="1" t="s">
        <v>2344</v>
      </c>
      <c r="E1116" s="1" t="s">
        <v>2196</v>
      </c>
      <c r="F1116" s="1" t="str">
        <f>"891145645"</f>
        <v>891145645</v>
      </c>
      <c r="G1116" s="1" t="str">
        <f>"8009257455"</f>
        <v>8009257455</v>
      </c>
      <c r="H1116" s="1" t="s">
        <v>2637</v>
      </c>
    </row>
    <row r="1117" spans="1:8" x14ac:dyDescent="0.25">
      <c r="A1117" s="1" t="str">
        <f>"930  "</f>
        <v xml:space="preserve">930  </v>
      </c>
      <c r="B1117" s="1" t="s">
        <v>2458</v>
      </c>
      <c r="C1117" s="1" t="s">
        <v>2459</v>
      </c>
      <c r="D1117" s="1" t="s">
        <v>2460</v>
      </c>
      <c r="E1117" s="1" t="s">
        <v>2667</v>
      </c>
      <c r="F1117" s="1" t="str">
        <f>"54481    "</f>
        <v xml:space="preserve">54481    </v>
      </c>
      <c r="G1117" s="1" t="str">
        <f>"8004267234"</f>
        <v>8004267234</v>
      </c>
      <c r="H1117" s="1" t="s">
        <v>2637</v>
      </c>
    </row>
    <row r="1118" spans="1:8" x14ac:dyDescent="0.25">
      <c r="A1118" s="1" t="s">
        <v>1513</v>
      </c>
      <c r="B1118" s="1" t="s">
        <v>1514</v>
      </c>
      <c r="C1118" s="1" t="s">
        <v>1515</v>
      </c>
      <c r="D1118" s="1" t="s">
        <v>3166</v>
      </c>
      <c r="E1118" s="1" t="s">
        <v>2667</v>
      </c>
      <c r="F1118" s="1" t="str">
        <f>"532230237"</f>
        <v>532230237</v>
      </c>
      <c r="G1118" s="1" t="str">
        <f>"8007593203"</f>
        <v>8007593203</v>
      </c>
      <c r="H1118" s="1" t="s">
        <v>2637</v>
      </c>
    </row>
    <row r="1119" spans="1:8" x14ac:dyDescent="0.25">
      <c r="A1119" s="1" t="s">
        <v>1721</v>
      </c>
      <c r="B1119" s="1" t="s">
        <v>1722</v>
      </c>
      <c r="C1119" s="1" t="s">
        <v>2093</v>
      </c>
      <c r="D1119" s="1" t="s">
        <v>2094</v>
      </c>
      <c r="E1119" s="1" t="s">
        <v>2706</v>
      </c>
      <c r="F1119" s="1" t="str">
        <f>"46082    "</f>
        <v xml:space="preserve">46082    </v>
      </c>
      <c r="G1119" s="1" t="str">
        <f>"8666994186"</f>
        <v>8666994186</v>
      </c>
      <c r="H1119" s="1" t="s">
        <v>2637</v>
      </c>
    </row>
    <row r="1120" spans="1:8" x14ac:dyDescent="0.25">
      <c r="A1120" s="1" t="str">
        <f>"235  "</f>
        <v xml:space="preserve">235  </v>
      </c>
      <c r="B1120" s="1" t="s">
        <v>1926</v>
      </c>
      <c r="C1120" s="1" t="s">
        <v>3251</v>
      </c>
      <c r="D1120" s="1" t="s">
        <v>1927</v>
      </c>
      <c r="E1120" s="1" t="s">
        <v>2681</v>
      </c>
      <c r="F1120" s="1" t="str">
        <f>"30722    "</f>
        <v xml:space="preserve">30722    </v>
      </c>
      <c r="G1120" s="1" t="str">
        <f>"8003211855"</f>
        <v>8003211855</v>
      </c>
      <c r="H1120" s="1" t="s">
        <v>2637</v>
      </c>
    </row>
    <row r="1121" spans="1:8" x14ac:dyDescent="0.25">
      <c r="A1121" s="1" t="str">
        <f>"490  "</f>
        <v xml:space="preserve">490  </v>
      </c>
      <c r="B1121" s="1" t="s">
        <v>2484</v>
      </c>
      <c r="C1121" s="1" t="s">
        <v>2485</v>
      </c>
      <c r="D1121" s="1" t="s">
        <v>2705</v>
      </c>
      <c r="E1121" s="1" t="s">
        <v>2706</v>
      </c>
      <c r="F1121" s="1" t="str">
        <f>"43242    "</f>
        <v xml:space="preserve">43242    </v>
      </c>
      <c r="G1121" s="1" t="str">
        <f>"8002482141"</f>
        <v>8002482141</v>
      </c>
      <c r="H1121" s="1" t="s">
        <v>2688</v>
      </c>
    </row>
    <row r="1122" spans="1:8" x14ac:dyDescent="0.25">
      <c r="A1122" s="1" t="s">
        <v>924</v>
      </c>
      <c r="B1122" s="1" t="s">
        <v>925</v>
      </c>
      <c r="C1122" s="1" t="s">
        <v>926</v>
      </c>
      <c r="D1122" s="1" t="s">
        <v>927</v>
      </c>
      <c r="E1122" s="1" t="s">
        <v>3164</v>
      </c>
      <c r="F1122" s="1" t="str">
        <f>"24029    "</f>
        <v xml:space="preserve">24029    </v>
      </c>
      <c r="G1122" s="1" t="str">
        <f>"8008485433"</f>
        <v>8008485433</v>
      </c>
      <c r="H1122" s="1" t="s">
        <v>2637</v>
      </c>
    </row>
    <row r="1123" spans="1:8" x14ac:dyDescent="0.25">
      <c r="A1123" s="1" t="str">
        <f>"838  "</f>
        <v xml:space="preserve">838  </v>
      </c>
      <c r="B1123" s="1" t="s">
        <v>2470</v>
      </c>
      <c r="C1123" s="1" t="s">
        <v>2471</v>
      </c>
      <c r="D1123" s="1" t="s">
        <v>2472</v>
      </c>
      <c r="E1123" s="1" t="s">
        <v>2902</v>
      </c>
      <c r="F1123" s="1" t="str">
        <f>"55116    "</f>
        <v xml:space="preserve">55116    </v>
      </c>
      <c r="G1123" s="1" t="str">
        <f>"8883308408"</f>
        <v>8883308408</v>
      </c>
      <c r="H1123" s="1" t="s">
        <v>2637</v>
      </c>
    </row>
    <row r="1124" spans="1:8" x14ac:dyDescent="0.25">
      <c r="A1124" s="1" t="str">
        <f>"631  "</f>
        <v xml:space="preserve">631  </v>
      </c>
      <c r="B1124" s="1" t="s">
        <v>469</v>
      </c>
      <c r="C1124" s="1" t="str">
        <f>"-                                                 "</f>
        <v xml:space="preserve">-                                                 </v>
      </c>
      <c r="D1124" s="1" t="str">
        <f>"-                                      "</f>
        <v xml:space="preserve">-                                      </v>
      </c>
      <c r="E1124" s="1" t="str">
        <f>"- "</f>
        <v xml:space="preserve">- </v>
      </c>
      <c r="F1124" s="1" t="str">
        <f>"-----    "</f>
        <v xml:space="preserve">-----    </v>
      </c>
      <c r="G1124" s="1" t="s">
        <v>2637</v>
      </c>
      <c r="H1124" s="1" t="s">
        <v>2637</v>
      </c>
    </row>
    <row r="1125" spans="1:8" x14ac:dyDescent="0.25">
      <c r="A1125" s="1" t="str">
        <f>"208  "</f>
        <v xml:space="preserve">208  </v>
      </c>
      <c r="B1125" s="1" t="s">
        <v>1222</v>
      </c>
      <c r="C1125" s="1" t="s">
        <v>1223</v>
      </c>
      <c r="D1125" s="1" t="s">
        <v>1224</v>
      </c>
      <c r="E1125" s="1" t="s">
        <v>2773</v>
      </c>
      <c r="F1125" s="1" t="str">
        <f>"13761    "</f>
        <v xml:space="preserve">13761    </v>
      </c>
      <c r="G1125" s="1" t="str">
        <f>"8002524624"</f>
        <v>8002524624</v>
      </c>
      <c r="H1125" s="1" t="s">
        <v>2637</v>
      </c>
    </row>
    <row r="1126" spans="1:8" x14ac:dyDescent="0.25">
      <c r="A1126" s="1" t="s">
        <v>1339</v>
      </c>
      <c r="B1126" s="1" t="s">
        <v>1340</v>
      </c>
      <c r="C1126" s="1" t="s">
        <v>2439</v>
      </c>
      <c r="D1126" s="1" t="s">
        <v>2195</v>
      </c>
      <c r="E1126" s="1" t="s">
        <v>2196</v>
      </c>
      <c r="F1126" s="1" t="str">
        <f>"891145645"</f>
        <v>891145645</v>
      </c>
      <c r="G1126" s="1" t="str">
        <f>"8882742207"</f>
        <v>8882742207</v>
      </c>
      <c r="H1126" s="1" t="s">
        <v>2795</v>
      </c>
    </row>
    <row r="1127" spans="1:8" x14ac:dyDescent="0.25">
      <c r="A1127" s="1" t="s">
        <v>2920</v>
      </c>
      <c r="B1127" s="1" t="s">
        <v>2921</v>
      </c>
      <c r="C1127" s="1" t="s">
        <v>2922</v>
      </c>
      <c r="D1127" s="1" t="s">
        <v>2923</v>
      </c>
      <c r="E1127" s="1" t="s">
        <v>2706</v>
      </c>
      <c r="F1127" s="1" t="str">
        <f>"47202    "</f>
        <v xml:space="preserve">47202    </v>
      </c>
      <c r="G1127" s="1" t="str">
        <f>"8008732022"</f>
        <v>8008732022</v>
      </c>
      <c r="H1127" s="1" t="s">
        <v>2637</v>
      </c>
    </row>
    <row r="1128" spans="1:8" x14ac:dyDescent="0.25">
      <c r="A1128" s="1" t="str">
        <f>"568  "</f>
        <v xml:space="preserve">568  </v>
      </c>
      <c r="B1128" s="1" t="s">
        <v>2932</v>
      </c>
      <c r="C1128" s="1" t="s">
        <v>2933</v>
      </c>
      <c r="D1128" s="1" t="s">
        <v>2901</v>
      </c>
      <c r="E1128" s="1" t="s">
        <v>2902</v>
      </c>
      <c r="F1128" s="1" t="str">
        <f>"554401339"</f>
        <v>554401339</v>
      </c>
      <c r="G1128" s="1" t="str">
        <f>"8884465710"</f>
        <v>8884465710</v>
      </c>
      <c r="H1128" s="1" t="s">
        <v>2934</v>
      </c>
    </row>
    <row r="1129" spans="1:8" x14ac:dyDescent="0.25">
      <c r="A1129" s="1" t="str">
        <f>"576  "</f>
        <v xml:space="preserve">576  </v>
      </c>
      <c r="B1129" s="1" t="s">
        <v>309</v>
      </c>
      <c r="C1129" s="1" t="s">
        <v>310</v>
      </c>
      <c r="D1129" s="1" t="s">
        <v>3033</v>
      </c>
      <c r="E1129" s="1" t="s">
        <v>3034</v>
      </c>
      <c r="F1129" s="1" t="str">
        <f>"57109    "</f>
        <v xml:space="preserve">57109    </v>
      </c>
      <c r="G1129" s="1" t="str">
        <f>"8007525863"</f>
        <v>8007525863</v>
      </c>
      <c r="H1129" s="1" t="s">
        <v>2637</v>
      </c>
    </row>
    <row r="1130" spans="1:8" x14ac:dyDescent="0.25">
      <c r="A1130" s="1" t="s">
        <v>690</v>
      </c>
      <c r="B1130" s="1" t="s">
        <v>691</v>
      </c>
      <c r="C1130" s="1" t="s">
        <v>993</v>
      </c>
      <c r="D1130" s="1" t="s">
        <v>692</v>
      </c>
      <c r="E1130" s="1" t="s">
        <v>3264</v>
      </c>
      <c r="F1130" s="1" t="str">
        <f>"52004    "</f>
        <v xml:space="preserve">52004    </v>
      </c>
      <c r="G1130" s="1" t="str">
        <f>"8004574725"</f>
        <v>8004574725</v>
      </c>
      <c r="H1130" s="1" t="s">
        <v>2637</v>
      </c>
    </row>
    <row r="1131" spans="1:8" x14ac:dyDescent="0.25">
      <c r="A1131" s="1" t="s">
        <v>1641</v>
      </c>
      <c r="B1131" s="1" t="s">
        <v>1642</v>
      </c>
      <c r="C1131" s="1" t="s">
        <v>1643</v>
      </c>
      <c r="D1131" s="1" t="s">
        <v>2083</v>
      </c>
      <c r="E1131" s="1" t="s">
        <v>2697</v>
      </c>
      <c r="F1131" s="1" t="str">
        <f>"18505    "</f>
        <v xml:space="preserve">18505    </v>
      </c>
      <c r="G1131" s="1" t="str">
        <f>"8668659329"</f>
        <v>8668659329</v>
      </c>
      <c r="H1131" s="1" t="s">
        <v>2795</v>
      </c>
    </row>
    <row r="1132" spans="1:8" x14ac:dyDescent="0.25">
      <c r="A1132" s="1" t="str">
        <f>"478  "</f>
        <v xml:space="preserve">478  </v>
      </c>
      <c r="B1132" s="1" t="s">
        <v>2518</v>
      </c>
      <c r="C1132" s="1" t="s">
        <v>2519</v>
      </c>
      <c r="D1132" s="1" t="s">
        <v>2465</v>
      </c>
      <c r="E1132" s="1" t="s">
        <v>2636</v>
      </c>
      <c r="F1132" s="1" t="str">
        <f>"76161    "</f>
        <v xml:space="preserve">76161    </v>
      </c>
      <c r="G1132" s="1" t="str">
        <f>"8008672582"</f>
        <v>8008672582</v>
      </c>
      <c r="H1132" s="1" t="s">
        <v>2637</v>
      </c>
    </row>
    <row r="1133" spans="1:8" x14ac:dyDescent="0.25">
      <c r="A1133" s="1" t="str">
        <f>"298  "</f>
        <v xml:space="preserve">298  </v>
      </c>
      <c r="B1133" s="1" t="s">
        <v>2614</v>
      </c>
      <c r="C1133" s="1" t="s">
        <v>2615</v>
      </c>
      <c r="D1133" s="1" t="s">
        <v>2616</v>
      </c>
      <c r="E1133" s="1" t="s">
        <v>2660</v>
      </c>
      <c r="F1133" s="1" t="str">
        <f>"29304    "</f>
        <v xml:space="preserve">29304    </v>
      </c>
      <c r="G1133" s="1" t="str">
        <f>"8002474526"</f>
        <v>8002474526</v>
      </c>
      <c r="H1133" s="1" t="s">
        <v>2637</v>
      </c>
    </row>
    <row r="1134" spans="1:8" x14ac:dyDescent="0.25">
      <c r="A1134" s="1" t="str">
        <f>"329  "</f>
        <v xml:space="preserve">329  </v>
      </c>
      <c r="B1134" s="1" t="s">
        <v>1671</v>
      </c>
      <c r="C1134" s="1" t="s">
        <v>1672</v>
      </c>
      <c r="D1134" s="1" t="s">
        <v>1673</v>
      </c>
      <c r="E1134" s="1" t="s">
        <v>3164</v>
      </c>
      <c r="F1134" s="1" t="str">
        <f>"23431    "</f>
        <v xml:space="preserve">23431    </v>
      </c>
      <c r="G1134" s="1" t="str">
        <f>"8008095916"</f>
        <v>8008095916</v>
      </c>
      <c r="H1134" s="1" t="s">
        <v>2637</v>
      </c>
    </row>
    <row r="1135" spans="1:8" x14ac:dyDescent="0.25">
      <c r="A1135" s="1" t="s">
        <v>1890</v>
      </c>
      <c r="B1135" s="1" t="s">
        <v>1891</v>
      </c>
      <c r="C1135" s="1" t="str">
        <f>"1100 CIRCLE 75 PARKWAY, STE 1400                  "</f>
        <v xml:space="preserve">1100 CIRCLE 75 PARKWAY, STE 1400                  </v>
      </c>
      <c r="D1135" s="1" t="s">
        <v>2717</v>
      </c>
      <c r="E1135" s="1" t="s">
        <v>2681</v>
      </c>
      <c r="F1135" s="1" t="str">
        <f>"30339    "</f>
        <v xml:space="preserve">30339    </v>
      </c>
      <c r="G1135" s="1" t="str">
        <f>"8004702004"</f>
        <v>8004702004</v>
      </c>
      <c r="H1135" s="1" t="s">
        <v>2637</v>
      </c>
    </row>
    <row r="1136" spans="1:8" x14ac:dyDescent="0.25">
      <c r="A1136" s="1" t="s">
        <v>2354</v>
      </c>
      <c r="B1136" s="1" t="s">
        <v>2355</v>
      </c>
      <c r="C1136" s="1" t="s">
        <v>2356</v>
      </c>
      <c r="D1136" s="1" t="s">
        <v>2357</v>
      </c>
      <c r="E1136" s="1" t="s">
        <v>2663</v>
      </c>
      <c r="F1136" s="1" t="str">
        <f>"91723    "</f>
        <v xml:space="preserve">91723    </v>
      </c>
      <c r="G1136" s="1" t="str">
        <f>"8005738597"</f>
        <v>8005738597</v>
      </c>
      <c r="H1136" s="1" t="s">
        <v>2637</v>
      </c>
    </row>
    <row r="1137" spans="1:8" x14ac:dyDescent="0.25">
      <c r="A1137" s="1" t="s">
        <v>188</v>
      </c>
      <c r="B1137" s="1" t="s">
        <v>189</v>
      </c>
      <c r="C1137" s="1" t="s">
        <v>2356</v>
      </c>
      <c r="D1137" s="1" t="s">
        <v>2357</v>
      </c>
      <c r="E1137" s="1" t="s">
        <v>2663</v>
      </c>
      <c r="F1137" s="1" t="str">
        <f>"91723    "</f>
        <v xml:space="preserve">91723    </v>
      </c>
      <c r="G1137" s="1" t="str">
        <f>"8005738597"</f>
        <v>8005738597</v>
      </c>
      <c r="H1137" s="1" t="s">
        <v>2795</v>
      </c>
    </row>
    <row r="1138" spans="1:8" x14ac:dyDescent="0.25">
      <c r="A1138" s="1" t="str">
        <f>"888  "</f>
        <v xml:space="preserve">888  </v>
      </c>
      <c r="B1138" s="1" t="s">
        <v>1317</v>
      </c>
      <c r="C1138" s="1" t="str">
        <f>"335 ARCHDALE DRIVE                                "</f>
        <v xml:space="preserve">335 ARCHDALE DRIVE                                </v>
      </c>
      <c r="D1138" s="1" t="s">
        <v>2906</v>
      </c>
      <c r="E1138" s="1" t="s">
        <v>2677</v>
      </c>
      <c r="F1138" s="1" t="str">
        <f>"282174246"</f>
        <v>282174246</v>
      </c>
      <c r="G1138" s="1" t="str">
        <f>"7045295400"</f>
        <v>7045295400</v>
      </c>
      <c r="H1138" s="1" t="s">
        <v>2637</v>
      </c>
    </row>
    <row r="1139" spans="1:8" x14ac:dyDescent="0.25">
      <c r="A1139" s="1" t="s">
        <v>3065</v>
      </c>
      <c r="B1139" s="1" t="s">
        <v>3066</v>
      </c>
      <c r="C1139" s="1" t="s">
        <v>3067</v>
      </c>
      <c r="D1139" s="1" t="s">
        <v>2923</v>
      </c>
      <c r="E1139" s="1" t="s">
        <v>2681</v>
      </c>
      <c r="F1139" s="1" t="str">
        <f>"31908    "</f>
        <v xml:space="preserve">31908    </v>
      </c>
      <c r="G1139" s="1" t="str">
        <f>"8004268803"</f>
        <v>8004268803</v>
      </c>
      <c r="H1139" s="1" t="s">
        <v>2637</v>
      </c>
    </row>
    <row r="1140" spans="1:8" x14ac:dyDescent="0.25">
      <c r="A1140" s="1" t="str">
        <f>"897  "</f>
        <v xml:space="preserve">897  </v>
      </c>
      <c r="B1140" s="1" t="s">
        <v>2476</v>
      </c>
      <c r="C1140" s="1" t="str">
        <f>"5305 VIRGINIA BEACH BLVD                          "</f>
        <v xml:space="preserve">5305 VIRGINIA BEACH BLVD                          </v>
      </c>
      <c r="D1140" s="1" t="s">
        <v>2477</v>
      </c>
      <c r="E1140" s="1" t="s">
        <v>3164</v>
      </c>
      <c r="F1140" s="1" t="str">
        <f>"23502    "</f>
        <v xml:space="preserve">23502    </v>
      </c>
      <c r="G1140" s="1" t="str">
        <f>"7574618091"</f>
        <v>7574618091</v>
      </c>
      <c r="H1140" s="1" t="s">
        <v>2637</v>
      </c>
    </row>
    <row r="1141" spans="1:8" x14ac:dyDescent="0.25">
      <c r="A1141" s="1" t="s">
        <v>667</v>
      </c>
      <c r="B1141" s="1" t="s">
        <v>668</v>
      </c>
      <c r="C1141" s="1" t="s">
        <v>2028</v>
      </c>
      <c r="D1141" s="1" t="s">
        <v>2029</v>
      </c>
      <c r="E1141" s="1" t="s">
        <v>2970</v>
      </c>
      <c r="F1141" s="1" t="str">
        <f>"37070    "</f>
        <v xml:space="preserve">37070    </v>
      </c>
      <c r="G1141" s="1" t="str">
        <f>"8008310420"</f>
        <v>8008310420</v>
      </c>
      <c r="H1141" s="1" t="s">
        <v>2637</v>
      </c>
    </row>
    <row r="1142" spans="1:8" x14ac:dyDescent="0.25">
      <c r="A1142" s="1" t="s">
        <v>2026</v>
      </c>
      <c r="B1142" s="1" t="s">
        <v>2027</v>
      </c>
      <c r="C1142" s="1" t="s">
        <v>2028</v>
      </c>
      <c r="D1142" s="1" t="s">
        <v>2029</v>
      </c>
      <c r="E1142" s="1" t="s">
        <v>2970</v>
      </c>
      <c r="F1142" s="1" t="str">
        <f>"370701449"</f>
        <v>370701449</v>
      </c>
      <c r="G1142" s="1" t="str">
        <f>"8008314914"</f>
        <v>8008314914</v>
      </c>
      <c r="H1142" s="1" t="s">
        <v>2637</v>
      </c>
    </row>
    <row r="1143" spans="1:8" x14ac:dyDescent="0.25">
      <c r="A1143" s="1" t="s">
        <v>2443</v>
      </c>
      <c r="B1143" s="1" t="s">
        <v>2444</v>
      </c>
      <c r="C1143" s="1" t="s">
        <v>2445</v>
      </c>
      <c r="D1143" s="1" t="s">
        <v>2446</v>
      </c>
      <c r="E1143" s="1" t="s">
        <v>2663</v>
      </c>
      <c r="F1143" s="1" t="str">
        <f>"90022    "</f>
        <v xml:space="preserve">90022    </v>
      </c>
      <c r="G1143" s="1" t="str">
        <f>"3237227171"</f>
        <v>3237227171</v>
      </c>
      <c r="H1143" s="1" t="s">
        <v>2760</v>
      </c>
    </row>
    <row r="1144" spans="1:8" x14ac:dyDescent="0.25">
      <c r="A1144" s="1" t="s">
        <v>1614</v>
      </c>
      <c r="B1144" s="1" t="s">
        <v>1615</v>
      </c>
      <c r="C1144" s="1" t="str">
        <f>"501 SHATTO PLACE, 5TH FLOOR                       "</f>
        <v xml:space="preserve">501 SHATTO PLACE, 5TH FLOOR                       </v>
      </c>
      <c r="D1144" s="1" t="s">
        <v>2874</v>
      </c>
      <c r="E1144" s="1" t="s">
        <v>2663</v>
      </c>
      <c r="F1144" s="1" t="str">
        <f>"90020    "</f>
        <v xml:space="preserve">90020    </v>
      </c>
      <c r="G1144" s="1" t="str">
        <f>"2133856161"</f>
        <v>2133856161</v>
      </c>
      <c r="H1144" s="1" t="s">
        <v>2760</v>
      </c>
    </row>
    <row r="1145" spans="1:8" x14ac:dyDescent="0.25">
      <c r="A1145" s="1" t="str">
        <f>"224  "</f>
        <v xml:space="preserve">224  </v>
      </c>
      <c r="B1145" s="1" t="s">
        <v>2084</v>
      </c>
      <c r="C1145" s="1" t="str">
        <f>"3928 VOLUNTEER DRIVE                              "</f>
        <v xml:space="preserve">3928 VOLUNTEER DRIVE                              </v>
      </c>
      <c r="D1145" s="1" t="s">
        <v>3045</v>
      </c>
      <c r="E1145" s="1" t="s">
        <v>2970</v>
      </c>
      <c r="F1145" s="1" t="str">
        <f>"37416    "</f>
        <v xml:space="preserve">37416    </v>
      </c>
      <c r="G1145" s="1" t="str">
        <f>"4238992593"</f>
        <v>4238992593</v>
      </c>
      <c r="H1145" s="1" t="s">
        <v>2637</v>
      </c>
    </row>
    <row r="1146" spans="1:8" x14ac:dyDescent="0.25">
      <c r="A1146" s="1" t="s">
        <v>143</v>
      </c>
      <c r="B1146" s="1" t="s">
        <v>144</v>
      </c>
      <c r="C1146" s="1" t="s">
        <v>145</v>
      </c>
      <c r="D1146" s="1" t="s">
        <v>3160</v>
      </c>
      <c r="E1146" s="1" t="s">
        <v>3161</v>
      </c>
      <c r="F1146" s="1" t="str">
        <f>"39205    "</f>
        <v xml:space="preserve">39205    </v>
      </c>
      <c r="G1146" s="1" t="str">
        <f>"8004579611"</f>
        <v>8004579611</v>
      </c>
      <c r="H1146" s="1" t="s">
        <v>2637</v>
      </c>
    </row>
    <row r="1147" spans="1:8" x14ac:dyDescent="0.25">
      <c r="A1147" s="1" t="str">
        <f>"990  "</f>
        <v xml:space="preserve">990  </v>
      </c>
      <c r="B1147" s="1" t="s">
        <v>1586</v>
      </c>
      <c r="C1147" s="1" t="str">
        <f>"200 SOUTH MARSHALL ST.                            "</f>
        <v xml:space="preserve">200 SOUTH MARSHALL ST.                            </v>
      </c>
      <c r="D1147" s="1" t="s">
        <v>2036</v>
      </c>
      <c r="E1147" s="1" t="s">
        <v>2677</v>
      </c>
      <c r="F1147" s="1" t="str">
        <f>"27101    "</f>
        <v xml:space="preserve">27101    </v>
      </c>
      <c r="G1147" s="1" t="str">
        <f>"8003348159"</f>
        <v>8003348159</v>
      </c>
      <c r="H1147" s="1" t="s">
        <v>2637</v>
      </c>
    </row>
    <row r="1148" spans="1:8" x14ac:dyDescent="0.25">
      <c r="A1148" s="1" t="s">
        <v>1838</v>
      </c>
      <c r="B1148" s="1" t="s">
        <v>1839</v>
      </c>
      <c r="C1148" s="1" t="s">
        <v>1840</v>
      </c>
      <c r="D1148" s="1" t="s">
        <v>2791</v>
      </c>
      <c r="E1148" s="1" t="s">
        <v>2744</v>
      </c>
      <c r="F1148" s="1" t="str">
        <f>"40742    "</f>
        <v xml:space="preserve">40742    </v>
      </c>
      <c r="G1148" s="1" t="str">
        <f>"8006274872"</f>
        <v>8006274872</v>
      </c>
      <c r="H1148" s="1" t="s">
        <v>2637</v>
      </c>
    </row>
    <row r="1149" spans="1:8" x14ac:dyDescent="0.25">
      <c r="A1149" s="1" t="s">
        <v>2892</v>
      </c>
      <c r="B1149" s="1" t="s">
        <v>2893</v>
      </c>
      <c r="C1149" s="1" t="s">
        <v>2894</v>
      </c>
      <c r="D1149" s="1" t="s">
        <v>2635</v>
      </c>
      <c r="E1149" s="1" t="s">
        <v>2636</v>
      </c>
      <c r="F1149" s="1" t="str">
        <f>"77218    "</f>
        <v xml:space="preserve">77218    </v>
      </c>
      <c r="G1149" s="1" t="str">
        <f>"2818291033"</f>
        <v>2818291033</v>
      </c>
      <c r="H1149" s="1" t="s">
        <v>2637</v>
      </c>
    </row>
    <row r="1150" spans="1:8" x14ac:dyDescent="0.25">
      <c r="A1150" s="1" t="str">
        <f>"186  "</f>
        <v xml:space="preserve">186  </v>
      </c>
      <c r="B1150" s="1" t="s">
        <v>829</v>
      </c>
      <c r="C1150" s="1" t="s">
        <v>1675</v>
      </c>
      <c r="D1150" s="1" t="s">
        <v>2717</v>
      </c>
      <c r="E1150" s="1" t="s">
        <v>2681</v>
      </c>
      <c r="F1150" s="1" t="str">
        <f>"303485006"</f>
        <v>303485006</v>
      </c>
      <c r="G1150" s="1" t="str">
        <f>"7709805100"</f>
        <v>7709805100</v>
      </c>
      <c r="H1150" s="1" t="s">
        <v>2637</v>
      </c>
    </row>
    <row r="1151" spans="1:8" x14ac:dyDescent="0.25">
      <c r="A1151" s="1" t="str">
        <f>"691  "</f>
        <v xml:space="preserve">691  </v>
      </c>
      <c r="B1151" s="1" t="s">
        <v>1663</v>
      </c>
      <c r="C1151" s="1" t="str">
        <f>"-                                                 "</f>
        <v xml:space="preserve">-                                                 </v>
      </c>
      <c r="D1151" s="1" t="str">
        <f>"-                                      "</f>
        <v xml:space="preserve">-                                      </v>
      </c>
      <c r="E1151" s="1" t="str">
        <f>"- "</f>
        <v xml:space="preserve">- </v>
      </c>
      <c r="F1151" s="1" t="str">
        <f>"-        "</f>
        <v xml:space="preserve">-        </v>
      </c>
      <c r="G1151" s="1" t="s">
        <v>2637</v>
      </c>
      <c r="H1151" s="1" t="s">
        <v>2637</v>
      </c>
    </row>
    <row r="1152" spans="1:8" x14ac:dyDescent="0.25">
      <c r="A1152" s="1" t="str">
        <f>"811  "</f>
        <v xml:space="preserve">811  </v>
      </c>
      <c r="B1152" s="1" t="s">
        <v>1324</v>
      </c>
      <c r="C1152" s="1" t="s">
        <v>1325</v>
      </c>
      <c r="D1152" s="1" t="s">
        <v>2696</v>
      </c>
      <c r="E1152" s="1" t="s">
        <v>2660</v>
      </c>
      <c r="F1152" s="1" t="str">
        <f>"29721    "</f>
        <v xml:space="preserve">29721    </v>
      </c>
      <c r="G1152" s="1" t="str">
        <f>"877-629-00"</f>
        <v>877-629-00</v>
      </c>
      <c r="H1152" s="1" t="s">
        <v>2688</v>
      </c>
    </row>
    <row r="1153" spans="1:8" x14ac:dyDescent="0.25">
      <c r="A1153" s="1" t="s">
        <v>1764</v>
      </c>
      <c r="B1153" s="1" t="s">
        <v>1765</v>
      </c>
      <c r="C1153" s="1" t="s">
        <v>1766</v>
      </c>
      <c r="D1153" s="1" t="s">
        <v>2074</v>
      </c>
      <c r="E1153" s="1" t="s">
        <v>2636</v>
      </c>
      <c r="F1153" s="1" t="str">
        <f>"750250349"</f>
        <v>750250349</v>
      </c>
      <c r="G1153" s="1" t="str">
        <f>"8007676811"</f>
        <v>8007676811</v>
      </c>
      <c r="H1153" s="1" t="s">
        <v>2688</v>
      </c>
    </row>
    <row r="1154" spans="1:8" x14ac:dyDescent="0.25">
      <c r="A1154" s="1" t="str">
        <f>"736  "</f>
        <v xml:space="preserve">736  </v>
      </c>
      <c r="B1154" s="1" t="s">
        <v>2269</v>
      </c>
      <c r="C1154" s="1" t="str">
        <f>"2811 LORD BALTIMORE DR.                           "</f>
        <v xml:space="preserve">2811 LORD BALTIMORE DR.                           </v>
      </c>
      <c r="D1154" s="1" t="s">
        <v>2652</v>
      </c>
      <c r="E1154" s="1" t="s">
        <v>2647</v>
      </c>
      <c r="F1154" s="1" t="str">
        <f>"212442644"</f>
        <v>212442644</v>
      </c>
      <c r="G1154" s="1" t="str">
        <f>"8006383120"</f>
        <v>8006383120</v>
      </c>
      <c r="H1154" s="1" t="s">
        <v>2637</v>
      </c>
    </row>
    <row r="1155" spans="1:8" x14ac:dyDescent="0.25">
      <c r="A1155" s="1" t="str">
        <f>"741  "</f>
        <v xml:space="preserve">741  </v>
      </c>
      <c r="B1155" s="1" t="s">
        <v>205</v>
      </c>
      <c r="C1155" s="1" t="str">
        <f>"1 S. LIMESTONE ST  STE 301                        "</f>
        <v xml:space="preserve">1 S. LIMESTONE ST  STE 301                        </v>
      </c>
      <c r="D1155" s="1" t="s">
        <v>2397</v>
      </c>
      <c r="E1155" s="1" t="s">
        <v>2714</v>
      </c>
      <c r="F1155" s="1" t="str">
        <f>"45502    "</f>
        <v xml:space="preserve">45502    </v>
      </c>
      <c r="G1155" s="1" t="str">
        <f>"8667669016"</f>
        <v>8667669016</v>
      </c>
      <c r="H1155" s="1" t="s">
        <v>2688</v>
      </c>
    </row>
    <row r="1156" spans="1:8" x14ac:dyDescent="0.25">
      <c r="A1156" s="1" t="str">
        <f>"573  "</f>
        <v xml:space="preserve">573  </v>
      </c>
      <c r="B1156" s="1" t="s">
        <v>2480</v>
      </c>
      <c r="C1156" s="1" t="s">
        <v>2481</v>
      </c>
      <c r="D1156" s="1" t="s">
        <v>2397</v>
      </c>
      <c r="E1156" s="1" t="s">
        <v>2670</v>
      </c>
      <c r="F1156" s="1" t="str">
        <f>"65814    "</f>
        <v xml:space="preserve">65814    </v>
      </c>
      <c r="G1156" s="1" t="str">
        <f>"8778757700"</f>
        <v>8778757700</v>
      </c>
      <c r="H1156" s="1" t="s">
        <v>2637</v>
      </c>
    </row>
    <row r="1157" spans="1:8" x14ac:dyDescent="0.25">
      <c r="A1157" s="1" t="str">
        <f>"512  "</f>
        <v xml:space="preserve">512  </v>
      </c>
      <c r="B1157" s="1" t="s">
        <v>973</v>
      </c>
      <c r="C1157" s="1" t="str">
        <f>"9501 NE 2ND AVE                                   "</f>
        <v xml:space="preserve">9501 NE 2ND AVE                                   </v>
      </c>
      <c r="D1157" s="1" t="s">
        <v>974</v>
      </c>
      <c r="E1157" s="1" t="s">
        <v>2832</v>
      </c>
      <c r="F1157" s="1" t="str">
        <f>"33138    "</f>
        <v xml:space="preserve">33138    </v>
      </c>
      <c r="G1157" s="1" t="s">
        <v>2637</v>
      </c>
      <c r="H1157" s="1" t="s">
        <v>2688</v>
      </c>
    </row>
    <row r="1158" spans="1:8" x14ac:dyDescent="0.25">
      <c r="A1158" s="1" t="s">
        <v>271</v>
      </c>
      <c r="B1158" s="1" t="s">
        <v>272</v>
      </c>
      <c r="C1158" s="1" t="s">
        <v>273</v>
      </c>
      <c r="D1158" s="1" t="s">
        <v>2126</v>
      </c>
      <c r="E1158" s="1" t="s">
        <v>2127</v>
      </c>
      <c r="F1158" s="1" t="str">
        <f>"972070209"</f>
        <v>972070209</v>
      </c>
      <c r="G1158" s="1" t="str">
        <f>"5033217000"</f>
        <v>5033217000</v>
      </c>
      <c r="H1158" s="1" t="s">
        <v>2637</v>
      </c>
    </row>
    <row r="1159" spans="1:8" x14ac:dyDescent="0.25">
      <c r="A1159" s="1" t="s">
        <v>561</v>
      </c>
      <c r="B1159" s="1" t="s">
        <v>562</v>
      </c>
      <c r="C1159" s="1" t="str">
        <f>"1400 MAIN STREET STE 1300                         "</f>
        <v xml:space="preserve">1400 MAIN STREET STE 1300                         </v>
      </c>
      <c r="D1159" s="1" t="s">
        <v>2701</v>
      </c>
      <c r="E1159" s="1" t="s">
        <v>2660</v>
      </c>
      <c r="F1159" s="1" t="str">
        <f>"29201    "</f>
        <v xml:space="preserve">29201    </v>
      </c>
      <c r="G1159" s="1" t="str">
        <f>"8037716785"</f>
        <v>8037716785</v>
      </c>
      <c r="H1159" s="1" t="s">
        <v>2637</v>
      </c>
    </row>
    <row r="1160" spans="1:8" x14ac:dyDescent="0.25">
      <c r="A1160" s="1" t="s">
        <v>128</v>
      </c>
      <c r="B1160" s="1" t="s">
        <v>129</v>
      </c>
      <c r="C1160" s="1" t="s">
        <v>130</v>
      </c>
      <c r="D1160" s="1" t="s">
        <v>2007</v>
      </c>
      <c r="E1160" s="1" t="s">
        <v>2636</v>
      </c>
      <c r="F1160" s="1" t="str">
        <f>"775531800"</f>
        <v>775531800</v>
      </c>
      <c r="G1160" s="1" t="str">
        <f>"8883501488"</f>
        <v>8883501488</v>
      </c>
      <c r="H1160" s="1" t="s">
        <v>2637</v>
      </c>
    </row>
    <row r="1161" spans="1:8" x14ac:dyDescent="0.25">
      <c r="A1161" s="1" t="str">
        <f>"188  "</f>
        <v xml:space="preserve">188  </v>
      </c>
      <c r="B1161" s="1" t="s">
        <v>938</v>
      </c>
      <c r="C1161" s="1" t="s">
        <v>939</v>
      </c>
      <c r="D1161" s="1" t="s">
        <v>2740</v>
      </c>
      <c r="E1161" s="1" t="s">
        <v>2660</v>
      </c>
      <c r="F1161" s="1" t="str">
        <f>"29716    "</f>
        <v xml:space="preserve">29716    </v>
      </c>
      <c r="G1161" s="1" t="str">
        <f>"8035483657"</f>
        <v>8035483657</v>
      </c>
      <c r="H1161" s="1" t="s">
        <v>2637</v>
      </c>
    </row>
    <row r="1162" spans="1:8" x14ac:dyDescent="0.25">
      <c r="A1162" s="1" t="str">
        <f>"307  "</f>
        <v xml:space="preserve">307  </v>
      </c>
      <c r="B1162" s="1" t="s">
        <v>2783</v>
      </c>
      <c r="C1162" s="1" t="s">
        <v>2784</v>
      </c>
      <c r="D1162" s="1" t="s">
        <v>2785</v>
      </c>
      <c r="E1162" s="1" t="s">
        <v>2786</v>
      </c>
      <c r="F1162" s="1" t="str">
        <f>"60068    "</f>
        <v xml:space="preserve">60068    </v>
      </c>
      <c r="G1162" s="1" t="str">
        <f>"8665131479"</f>
        <v>8665131479</v>
      </c>
      <c r="H1162" s="1" t="s">
        <v>2637</v>
      </c>
    </row>
    <row r="1163" spans="1:8" x14ac:dyDescent="0.25">
      <c r="A1163" s="1" t="s">
        <v>1146</v>
      </c>
      <c r="B1163" s="1" t="s">
        <v>1147</v>
      </c>
      <c r="C1163" s="1" t="s">
        <v>1148</v>
      </c>
      <c r="D1163" s="1" t="s">
        <v>2808</v>
      </c>
      <c r="E1163" s="1" t="s">
        <v>2809</v>
      </c>
      <c r="F1163" s="1" t="str">
        <f>"850784150"</f>
        <v>850784150</v>
      </c>
      <c r="G1163" s="1" t="str">
        <f>"8002881474"</f>
        <v>8002881474</v>
      </c>
      <c r="H1163" s="1" t="s">
        <v>2760</v>
      </c>
    </row>
    <row r="1164" spans="1:8" x14ac:dyDescent="0.25">
      <c r="A1164" s="1" t="str">
        <f>"240  "</f>
        <v xml:space="preserve">240  </v>
      </c>
      <c r="B1164" s="1" t="s">
        <v>1647</v>
      </c>
      <c r="C1164" s="1" t="s">
        <v>1648</v>
      </c>
      <c r="D1164" s="1" t="s">
        <v>2808</v>
      </c>
      <c r="E1164" s="1" t="s">
        <v>2809</v>
      </c>
      <c r="F1164" s="1" t="str">
        <f>"85078    "</f>
        <v xml:space="preserve">85078    </v>
      </c>
      <c r="G1164" s="1" t="str">
        <f>"8003085948"</f>
        <v>8003085948</v>
      </c>
      <c r="H1164" s="1" t="s">
        <v>2637</v>
      </c>
    </row>
    <row r="1165" spans="1:8" x14ac:dyDescent="0.25">
      <c r="A1165" s="1" t="str">
        <f>"952  "</f>
        <v xml:space="preserve">952  </v>
      </c>
      <c r="B1165" s="1" t="s">
        <v>841</v>
      </c>
      <c r="C1165" s="1" t="s">
        <v>842</v>
      </c>
      <c r="D1165" s="1" t="s">
        <v>1394</v>
      </c>
      <c r="E1165" s="1" t="s">
        <v>2714</v>
      </c>
      <c r="F1165" s="1" t="str">
        <f>"44224    "</f>
        <v xml:space="preserve">44224    </v>
      </c>
      <c r="G1165" s="1" t="str">
        <f>"8004564002"</f>
        <v>8004564002</v>
      </c>
      <c r="H1165" s="1" t="s">
        <v>2760</v>
      </c>
    </row>
    <row r="1166" spans="1:8" x14ac:dyDescent="0.25">
      <c r="A1166" s="1" t="s">
        <v>3260</v>
      </c>
      <c r="B1166" s="1" t="s">
        <v>3261</v>
      </c>
      <c r="C1166" s="1" t="s">
        <v>3262</v>
      </c>
      <c r="D1166" s="1" t="s">
        <v>3263</v>
      </c>
      <c r="E1166" s="1" t="s">
        <v>3264</v>
      </c>
      <c r="F1166" s="1" t="str">
        <f>"52733    "</f>
        <v xml:space="preserve">52733    </v>
      </c>
      <c r="G1166" s="1" t="str">
        <f>"8005221246"</f>
        <v>8005221246</v>
      </c>
      <c r="H1166" s="1" t="s">
        <v>3265</v>
      </c>
    </row>
    <row r="1167" spans="1:8" x14ac:dyDescent="0.25">
      <c r="A1167" s="1" t="str">
        <f>"400  "</f>
        <v xml:space="preserve">400  </v>
      </c>
      <c r="B1167" s="1" t="s">
        <v>2062</v>
      </c>
      <c r="C1167" s="1" t="str">
        <f>"4101 PERCIVAL ROAD                                "</f>
        <v xml:space="preserve">4101 PERCIVAL ROAD                                </v>
      </c>
      <c r="D1167" s="1" t="s">
        <v>2701</v>
      </c>
      <c r="E1167" s="1" t="s">
        <v>2660</v>
      </c>
      <c r="F1167" s="1" t="str">
        <f>"29219    "</f>
        <v xml:space="preserve">29219    </v>
      </c>
      <c r="G1167" s="1" t="str">
        <f>"8008682520"</f>
        <v>8008682520</v>
      </c>
      <c r="H1167" s="1" t="s">
        <v>2063</v>
      </c>
    </row>
    <row r="1168" spans="1:8" x14ac:dyDescent="0.25">
      <c r="A1168" s="1" t="str">
        <f>"373  "</f>
        <v xml:space="preserve">373  </v>
      </c>
      <c r="B1168" s="1" t="s">
        <v>2830</v>
      </c>
      <c r="C1168" s="1" t="str">
        <f>"7401 CYPRESS GARDENS BLVD                         "</f>
        <v xml:space="preserve">7401 CYPRESS GARDENS BLVD                         </v>
      </c>
      <c r="D1168" s="1" t="s">
        <v>2831</v>
      </c>
      <c r="E1168" s="1" t="s">
        <v>2832</v>
      </c>
      <c r="F1168" s="1" t="str">
        <f>"338880007"</f>
        <v>338880007</v>
      </c>
      <c r="G1168" s="1" t="str">
        <f>"8633183000"</f>
        <v>8633183000</v>
      </c>
      <c r="H1168" s="1" t="s">
        <v>2637</v>
      </c>
    </row>
    <row r="1169" spans="1:8" x14ac:dyDescent="0.25">
      <c r="A1169" s="1" t="str">
        <f>"147  "</f>
        <v xml:space="preserve">147  </v>
      </c>
      <c r="B1169" s="1" t="s">
        <v>2247</v>
      </c>
      <c r="C1169" s="1" t="s">
        <v>2248</v>
      </c>
      <c r="D1169" s="1" t="s">
        <v>3074</v>
      </c>
      <c r="E1169" s="1" t="s">
        <v>2832</v>
      </c>
      <c r="F1169" s="1" t="str">
        <f>"337578811"</f>
        <v>337578811</v>
      </c>
      <c r="G1169" s="1" t="str">
        <f>"8887806388"</f>
        <v>8887806388</v>
      </c>
      <c r="H1169" s="1" t="s">
        <v>2637</v>
      </c>
    </row>
    <row r="1170" spans="1:8" x14ac:dyDescent="0.25">
      <c r="A1170" s="1" t="s">
        <v>1698</v>
      </c>
      <c r="B1170" s="1" t="s">
        <v>1699</v>
      </c>
      <c r="C1170" s="1" t="str">
        <f>"1100 31ST STREET                                  "</f>
        <v xml:space="preserve">1100 31ST STREET                                  </v>
      </c>
      <c r="D1170" s="1" t="s">
        <v>1700</v>
      </c>
      <c r="E1170" s="1" t="s">
        <v>2786</v>
      </c>
      <c r="F1170" s="1" t="str">
        <f>"60515    "</f>
        <v xml:space="preserve">60515    </v>
      </c>
      <c r="G1170" s="1" t="str">
        <f>"8003233359"</f>
        <v>8003233359</v>
      </c>
      <c r="H1170" s="1" t="s">
        <v>2735</v>
      </c>
    </row>
    <row r="1171" spans="1:8" x14ac:dyDescent="0.25">
      <c r="A1171" s="1" t="s">
        <v>2727</v>
      </c>
      <c r="B1171" s="1" t="s">
        <v>2728</v>
      </c>
      <c r="C1171" s="1" t="s">
        <v>2729</v>
      </c>
      <c r="D1171" s="1" t="s">
        <v>2730</v>
      </c>
      <c r="E1171" s="1" t="s">
        <v>2731</v>
      </c>
      <c r="F1171" s="1" t="str">
        <f>"70804    "</f>
        <v xml:space="preserve">70804    </v>
      </c>
      <c r="G1171" s="1" t="str">
        <f>"8002728451"</f>
        <v>8002728451</v>
      </c>
      <c r="H1171" s="1" t="s">
        <v>2732</v>
      </c>
    </row>
    <row r="1172" spans="1:8" x14ac:dyDescent="0.25">
      <c r="A1172" s="1" t="str">
        <f>"867  "</f>
        <v xml:space="preserve">867  </v>
      </c>
      <c r="B1172" s="1" t="s">
        <v>1287</v>
      </c>
      <c r="C1172" s="1" t="s">
        <v>1288</v>
      </c>
      <c r="D1172" s="1" t="s">
        <v>2676</v>
      </c>
      <c r="E1172" s="1" t="s">
        <v>2677</v>
      </c>
      <c r="F1172" s="1" t="str">
        <f>"27702    "</f>
        <v xml:space="preserve">27702    </v>
      </c>
      <c r="G1172" s="1" t="str">
        <f>"9194897431"</f>
        <v>9194897431</v>
      </c>
      <c r="H1172" s="1" t="s">
        <v>2637</v>
      </c>
    </row>
    <row r="1173" spans="1:8" x14ac:dyDescent="0.25">
      <c r="A1173" s="1" t="s">
        <v>1213</v>
      </c>
      <c r="B1173" s="1" t="s">
        <v>1214</v>
      </c>
      <c r="C1173" s="1" t="str">
        <f>"115 WEST 7TH ST. SUITE 1200                       "</f>
        <v xml:space="preserve">115 WEST 7TH ST. SUITE 1200                       </v>
      </c>
      <c r="D1173" s="1" t="s">
        <v>2465</v>
      </c>
      <c r="E1173" s="1" t="s">
        <v>2636</v>
      </c>
      <c r="F1173" s="1" t="str">
        <f>"761027012"</f>
        <v>761027012</v>
      </c>
      <c r="G1173" s="1" t="str">
        <f>"8007828375"</f>
        <v>8007828375</v>
      </c>
      <c r="H1173" s="1" t="s">
        <v>2637</v>
      </c>
    </row>
    <row r="1174" spans="1:8" x14ac:dyDescent="0.25">
      <c r="A1174" s="1" t="s">
        <v>1362</v>
      </c>
      <c r="B1174" s="1" t="s">
        <v>86</v>
      </c>
      <c r="C1174" s="1" t="str">
        <f>"3815 MONTROSE BOULEVARD                           "</f>
        <v xml:space="preserve">3815 MONTROSE BOULEVARD                           </v>
      </c>
      <c r="D1174" s="1" t="s">
        <v>2635</v>
      </c>
      <c r="E1174" s="1" t="s">
        <v>2636</v>
      </c>
      <c r="F1174" s="1" t="str">
        <f>"77006    "</f>
        <v xml:space="preserve">77006    </v>
      </c>
      <c r="G1174" s="1" t="str">
        <f>"7135266000"</f>
        <v>7135266000</v>
      </c>
      <c r="H1174" s="1" t="s">
        <v>2637</v>
      </c>
    </row>
    <row r="1175" spans="1:8" x14ac:dyDescent="0.25">
      <c r="A1175" s="1" t="str">
        <f>"244  "</f>
        <v xml:space="preserve">244  </v>
      </c>
      <c r="B1175" s="1" t="s">
        <v>1827</v>
      </c>
      <c r="C1175" s="1" t="s">
        <v>1828</v>
      </c>
      <c r="D1175" s="1" t="s">
        <v>3074</v>
      </c>
      <c r="E1175" s="1" t="s">
        <v>2832</v>
      </c>
      <c r="F1175" s="1" t="str">
        <f>"337578844"</f>
        <v>337578844</v>
      </c>
      <c r="G1175" s="1" t="str">
        <f>"8776045240"</f>
        <v>8776045240</v>
      </c>
      <c r="H1175" s="1" t="s">
        <v>2637</v>
      </c>
    </row>
    <row r="1176" spans="1:8" x14ac:dyDescent="0.25">
      <c r="A1176" s="1" t="str">
        <f>"233  "</f>
        <v xml:space="preserve">233  </v>
      </c>
      <c r="B1176" s="1" t="s">
        <v>2855</v>
      </c>
      <c r="C1176" s="1" t="s">
        <v>2856</v>
      </c>
      <c r="D1176" s="1" t="s">
        <v>2857</v>
      </c>
      <c r="E1176" s="1" t="s">
        <v>2858</v>
      </c>
      <c r="F1176" s="1" t="str">
        <f>"98227    "</f>
        <v xml:space="preserve">98227    </v>
      </c>
      <c r="G1176" s="1" t="str">
        <f>"8006880010"</f>
        <v>8006880010</v>
      </c>
      <c r="H1176" s="1" t="s">
        <v>2637</v>
      </c>
    </row>
    <row r="1177" spans="1:8" x14ac:dyDescent="0.25">
      <c r="A1177" s="1" t="str">
        <f>"645  "</f>
        <v xml:space="preserve">645  </v>
      </c>
      <c r="B1177" s="1" t="s">
        <v>1079</v>
      </c>
      <c r="C1177" s="1" t="s">
        <v>1080</v>
      </c>
      <c r="D1177" s="1" t="s">
        <v>1081</v>
      </c>
      <c r="E1177" s="1" t="s">
        <v>2647</v>
      </c>
      <c r="F1177" s="1" t="str">
        <f>"21900    "</f>
        <v xml:space="preserve">21900    </v>
      </c>
      <c r="G1177" s="1" t="str">
        <f>"6152445600"</f>
        <v>6152445600</v>
      </c>
      <c r="H1177" s="1" t="s">
        <v>2795</v>
      </c>
    </row>
    <row r="1178" spans="1:8" x14ac:dyDescent="0.25">
      <c r="A1178" s="1" t="str">
        <f>"140  "</f>
        <v xml:space="preserve">140  </v>
      </c>
      <c r="B1178" s="1" t="s">
        <v>115</v>
      </c>
      <c r="C1178" s="1" t="s">
        <v>2856</v>
      </c>
      <c r="D1178" s="1" t="s">
        <v>2857</v>
      </c>
      <c r="E1178" s="1" t="s">
        <v>2858</v>
      </c>
      <c r="F1178" s="1" t="str">
        <f>"982270010"</f>
        <v>982270010</v>
      </c>
      <c r="G1178" s="1" t="s">
        <v>2637</v>
      </c>
      <c r="H1178" s="1" t="s">
        <v>2795</v>
      </c>
    </row>
    <row r="1179" spans="1:8" x14ac:dyDescent="0.25">
      <c r="A1179" s="1" t="str">
        <f>"374  "</f>
        <v xml:space="preserve">374  </v>
      </c>
      <c r="B1179" s="1" t="s">
        <v>2623</v>
      </c>
      <c r="C1179" s="1" t="str">
        <f>"2700 W. PLANO PARKWAY                             "</f>
        <v xml:space="preserve">2700 W. PLANO PARKWAY                             </v>
      </c>
      <c r="D1179" s="1" t="s">
        <v>2074</v>
      </c>
      <c r="E1179" s="1" t="s">
        <v>2636</v>
      </c>
      <c r="F1179" s="1" t="str">
        <f>"75075    "</f>
        <v xml:space="preserve">75075    </v>
      </c>
      <c r="G1179" s="1" t="str">
        <f>"8003319955"</f>
        <v>8003319955</v>
      </c>
      <c r="H1179" s="1" t="s">
        <v>2637</v>
      </c>
    </row>
    <row r="1180" spans="1:8" x14ac:dyDescent="0.25">
      <c r="A1180" s="1" t="str">
        <f>"714  "</f>
        <v xml:space="preserve">714  </v>
      </c>
      <c r="B1180" s="1" t="s">
        <v>560</v>
      </c>
      <c r="C1180" s="1" t="str">
        <f>"2872 WOODCOCK  BLVD. #200                         "</f>
        <v xml:space="preserve">2872 WOODCOCK  BLVD. #200                         </v>
      </c>
      <c r="D1180" s="1" t="s">
        <v>2717</v>
      </c>
      <c r="E1180" s="1" t="s">
        <v>2681</v>
      </c>
      <c r="F1180" s="1" t="str">
        <f>"30341    "</f>
        <v xml:space="preserve">30341    </v>
      </c>
      <c r="G1180" s="1" t="str">
        <f>"8005337896"</f>
        <v>8005337896</v>
      </c>
      <c r="H1180" s="1" t="s">
        <v>2760</v>
      </c>
    </row>
    <row r="1181" spans="1:8" x14ac:dyDescent="0.25">
      <c r="A1181" s="1" t="str">
        <f>"734  "</f>
        <v xml:space="preserve">734  </v>
      </c>
      <c r="B1181" s="1" t="s">
        <v>2188</v>
      </c>
      <c r="C1181" s="1" t="s">
        <v>2189</v>
      </c>
      <c r="D1181" s="1" t="s">
        <v>2906</v>
      </c>
      <c r="E1181" s="1" t="s">
        <v>2677</v>
      </c>
      <c r="F1181" s="1" t="str">
        <f>"28224    "</f>
        <v xml:space="preserve">28224    </v>
      </c>
      <c r="G1181" s="1" t="str">
        <f>"8888367764"</f>
        <v>8888367764</v>
      </c>
      <c r="H1181" s="1" t="s">
        <v>2190</v>
      </c>
    </row>
    <row r="1182" spans="1:8" x14ac:dyDescent="0.25">
      <c r="A1182" s="1" t="s">
        <v>2903</v>
      </c>
      <c r="B1182" s="1" t="s">
        <v>2904</v>
      </c>
      <c r="C1182" s="1" t="s">
        <v>2905</v>
      </c>
      <c r="D1182" s="1" t="s">
        <v>2906</v>
      </c>
      <c r="E1182" s="1" t="s">
        <v>2677</v>
      </c>
      <c r="F1182" s="1" t="str">
        <f>"28224    "</f>
        <v xml:space="preserve">28224    </v>
      </c>
      <c r="G1182" s="1" t="str">
        <f>"8888367764"</f>
        <v>8888367764</v>
      </c>
      <c r="H1182" s="1" t="s">
        <v>2637</v>
      </c>
    </row>
    <row r="1183" spans="1:8" x14ac:dyDescent="0.25">
      <c r="A1183" s="1" t="s">
        <v>3279</v>
      </c>
      <c r="B1183" s="1" t="s">
        <v>3280</v>
      </c>
      <c r="C1183" s="1" t="s">
        <v>3281</v>
      </c>
      <c r="D1183" s="1" t="s">
        <v>2794</v>
      </c>
      <c r="E1183" s="1" t="s">
        <v>2744</v>
      </c>
      <c r="F1183" s="1" t="str">
        <f>"40512    "</f>
        <v xml:space="preserve">40512    </v>
      </c>
      <c r="G1183" s="1" t="str">
        <f>"8887729682"</f>
        <v>8887729682</v>
      </c>
      <c r="H1183" s="1" t="s">
        <v>2637</v>
      </c>
    </row>
    <row r="1184" spans="1:8" x14ac:dyDescent="0.25">
      <c r="A1184" s="1" t="s">
        <v>2602</v>
      </c>
      <c r="B1184" s="1" t="s">
        <v>2603</v>
      </c>
      <c r="C1184" s="1" t="s">
        <v>2604</v>
      </c>
      <c r="D1184" s="1" t="s">
        <v>2605</v>
      </c>
      <c r="E1184" s="1" t="s">
        <v>2902</v>
      </c>
      <c r="F1184" s="1" t="str">
        <f>"55085    "</f>
        <v xml:space="preserve">55085    </v>
      </c>
      <c r="G1184" s="1" t="str">
        <f>"8003282739"</f>
        <v>8003282739</v>
      </c>
      <c r="H1184" s="1" t="s">
        <v>2637</v>
      </c>
    </row>
    <row r="1185" spans="1:8" x14ac:dyDescent="0.25">
      <c r="A1185" s="1" t="str">
        <f>"209  "</f>
        <v xml:space="preserve">209  </v>
      </c>
      <c r="B1185" s="1" t="s">
        <v>1808</v>
      </c>
      <c r="C1185" s="1" t="str">
        <f>"7400 COLLEGE BLVD.  STE. 100                      "</f>
        <v xml:space="preserve">7400 COLLEGE BLVD.  STE. 100                      </v>
      </c>
      <c r="D1185" s="1" t="s">
        <v>2748</v>
      </c>
      <c r="E1185" s="1" t="s">
        <v>2749</v>
      </c>
      <c r="F1185" s="1" t="str">
        <f>"66210    "</f>
        <v xml:space="preserve">66210    </v>
      </c>
      <c r="G1185" s="1" t="str">
        <f>"8772466997"</f>
        <v>8772466997</v>
      </c>
      <c r="H1185" s="1" t="s">
        <v>2637</v>
      </c>
    </row>
    <row r="1186" spans="1:8" x14ac:dyDescent="0.25">
      <c r="A1186" s="1" t="str">
        <f>"692  "</f>
        <v xml:space="preserve">692  </v>
      </c>
      <c r="B1186" s="1" t="s">
        <v>824</v>
      </c>
      <c r="C1186" s="1" t="str">
        <f>"-                                                 "</f>
        <v xml:space="preserve">-                                                 </v>
      </c>
      <c r="D1186" s="1" t="str">
        <f>"-                                      "</f>
        <v xml:space="preserve">-                                      </v>
      </c>
      <c r="E1186" s="1" t="str">
        <f>"- "</f>
        <v xml:space="preserve">- </v>
      </c>
      <c r="F1186" s="1" t="str">
        <f>"-        "</f>
        <v xml:space="preserve">-        </v>
      </c>
      <c r="G1186" s="1" t="s">
        <v>2637</v>
      </c>
      <c r="H1186" s="1" t="s">
        <v>2637</v>
      </c>
    </row>
    <row r="1187" spans="1:8" x14ac:dyDescent="0.25">
      <c r="A1187" s="1" t="str">
        <f>"342  "</f>
        <v xml:space="preserve">342  </v>
      </c>
      <c r="B1187" s="1" t="s">
        <v>1653</v>
      </c>
      <c r="C1187" s="1" t="s">
        <v>1654</v>
      </c>
      <c r="D1187" s="1" t="s">
        <v>1655</v>
      </c>
      <c r="E1187" s="1" t="s">
        <v>3118</v>
      </c>
      <c r="F1187" s="1" t="str">
        <f>"02181    "</f>
        <v xml:space="preserve">02181    </v>
      </c>
      <c r="G1187" s="1" t="str">
        <f>"8002253950"</f>
        <v>8002253950</v>
      </c>
      <c r="H1187" s="1" t="s">
        <v>2637</v>
      </c>
    </row>
    <row r="1188" spans="1:8" x14ac:dyDescent="0.25">
      <c r="A1188" s="1" t="str">
        <f>"861  "</f>
        <v xml:space="preserve">861  </v>
      </c>
      <c r="B1188" s="1" t="s">
        <v>1334</v>
      </c>
      <c r="C1188" s="1" t="s">
        <v>1335</v>
      </c>
      <c r="D1188" s="1" t="s">
        <v>2717</v>
      </c>
      <c r="E1188" s="1" t="s">
        <v>2681</v>
      </c>
      <c r="F1188" s="1" t="str">
        <f>"31139    "</f>
        <v xml:space="preserve">31139    </v>
      </c>
      <c r="G1188" s="1" t="str">
        <f>"8772917920"</f>
        <v>8772917920</v>
      </c>
      <c r="H1188" s="1" t="s">
        <v>2637</v>
      </c>
    </row>
    <row r="1189" spans="1:8" x14ac:dyDescent="0.25">
      <c r="A1189" s="1" t="s">
        <v>1420</v>
      </c>
      <c r="B1189" s="1" t="s">
        <v>1421</v>
      </c>
      <c r="C1189" s="1" t="s">
        <v>1422</v>
      </c>
      <c r="D1189" s="1" t="s">
        <v>2673</v>
      </c>
      <c r="E1189" s="1" t="s">
        <v>2674</v>
      </c>
      <c r="F1189" s="1" t="str">
        <f>"841710747"</f>
        <v>841710747</v>
      </c>
      <c r="G1189" s="1" t="str">
        <f>"8774534201"</f>
        <v>8774534201</v>
      </c>
      <c r="H1189" s="1" t="s">
        <v>2760</v>
      </c>
    </row>
    <row r="1190" spans="1:8" x14ac:dyDescent="0.25">
      <c r="A1190" s="1" t="s">
        <v>2907</v>
      </c>
      <c r="B1190" s="1" t="s">
        <v>2908</v>
      </c>
      <c r="C1190" s="1" t="s">
        <v>2909</v>
      </c>
      <c r="D1190" s="1" t="s">
        <v>2910</v>
      </c>
      <c r="E1190" s="1" t="s">
        <v>2681</v>
      </c>
      <c r="F1190" s="1" t="str">
        <f>"31758    "</f>
        <v xml:space="preserve">31758    </v>
      </c>
      <c r="G1190" s="1" t="str">
        <f>"8883525246"</f>
        <v>8883525246</v>
      </c>
      <c r="H1190" s="1" t="s">
        <v>2760</v>
      </c>
    </row>
    <row r="1191" spans="1:8" x14ac:dyDescent="0.25">
      <c r="A1191" s="1" t="str">
        <f>"712  "</f>
        <v xml:space="preserve">712  </v>
      </c>
      <c r="B1191" s="1" t="s">
        <v>3122</v>
      </c>
      <c r="C1191" s="1" t="str">
        <f>"620 EPSILON DRIVE                                 "</f>
        <v xml:space="preserve">620 EPSILON DRIVE                                 </v>
      </c>
      <c r="D1191" s="1" t="s">
        <v>3123</v>
      </c>
      <c r="E1191" s="1" t="s">
        <v>2697</v>
      </c>
      <c r="F1191" s="1" t="str">
        <f>"15238    "</f>
        <v xml:space="preserve">15238    </v>
      </c>
      <c r="G1191" s="1" t="str">
        <f>"8005815300"</f>
        <v>8005815300</v>
      </c>
      <c r="H1191" s="1" t="s">
        <v>3124</v>
      </c>
    </row>
    <row r="1192" spans="1:8" x14ac:dyDescent="0.25">
      <c r="A1192" s="1" t="s">
        <v>1294</v>
      </c>
      <c r="B1192" s="1" t="s">
        <v>1295</v>
      </c>
      <c r="C1192" s="1" t="s">
        <v>954</v>
      </c>
      <c r="D1192" s="1" t="s">
        <v>2616</v>
      </c>
      <c r="E1192" s="1" t="s">
        <v>2660</v>
      </c>
      <c r="F1192" s="1" t="str">
        <f>"29304    "</f>
        <v xml:space="preserve">29304    </v>
      </c>
      <c r="G1192" s="1" t="str">
        <f>"901-685-89"</f>
        <v>901-685-89</v>
      </c>
      <c r="H1192" s="1" t="s">
        <v>2760</v>
      </c>
    </row>
    <row r="1193" spans="1:8" x14ac:dyDescent="0.25">
      <c r="A1193" s="1" t="s">
        <v>217</v>
      </c>
      <c r="B1193" s="1" t="s">
        <v>218</v>
      </c>
      <c r="C1193" s="1" t="s">
        <v>219</v>
      </c>
      <c r="D1193" s="1" t="s">
        <v>2701</v>
      </c>
      <c r="E1193" s="1" t="s">
        <v>2660</v>
      </c>
      <c r="F1193" s="1" t="str">
        <f>"29202    "</f>
        <v xml:space="preserve">29202    </v>
      </c>
      <c r="G1193" s="1" t="str">
        <f>"8037721783"</f>
        <v>8037721783</v>
      </c>
      <c r="H1193" s="1" t="s">
        <v>2688</v>
      </c>
    </row>
    <row r="1194" spans="1:8" x14ac:dyDescent="0.25">
      <c r="A1194" s="1" t="str">
        <f>"497  "</f>
        <v xml:space="preserve">497  </v>
      </c>
      <c r="B1194" s="1" t="s">
        <v>943</v>
      </c>
      <c r="C1194" s="1" t="s">
        <v>944</v>
      </c>
      <c r="D1194" s="1" t="s">
        <v>2036</v>
      </c>
      <c r="E1194" s="1" t="s">
        <v>2677</v>
      </c>
      <c r="F1194" s="1" t="str">
        <f>"27116    "</f>
        <v xml:space="preserve">27116    </v>
      </c>
      <c r="G1194" s="1" t="str">
        <f>"8663074711"</f>
        <v>8663074711</v>
      </c>
      <c r="H1194" s="1" t="s">
        <v>2637</v>
      </c>
    </row>
    <row r="1195" spans="1:8" x14ac:dyDescent="0.25">
      <c r="A1195" s="1" t="s">
        <v>2410</v>
      </c>
      <c r="B1195" s="1" t="s">
        <v>2411</v>
      </c>
      <c r="C1195" s="1" t="s">
        <v>2412</v>
      </c>
      <c r="D1195" s="1" t="s">
        <v>2413</v>
      </c>
      <c r="E1195" s="1" t="s">
        <v>2636</v>
      </c>
      <c r="F1195" s="1" t="str">
        <f>"76006    "</f>
        <v xml:space="preserve">76006    </v>
      </c>
      <c r="G1195" s="1" t="str">
        <f>"8884113888"</f>
        <v>8884113888</v>
      </c>
      <c r="H1195" s="1" t="s">
        <v>2637</v>
      </c>
    </row>
    <row r="1196" spans="1:8" x14ac:dyDescent="0.25">
      <c r="A1196" s="1" t="s">
        <v>1194</v>
      </c>
      <c r="B1196" s="1" t="s">
        <v>1195</v>
      </c>
      <c r="C1196" s="1" t="s">
        <v>1196</v>
      </c>
      <c r="D1196" s="1" t="s">
        <v>1197</v>
      </c>
      <c r="E1196" s="1" t="s">
        <v>2786</v>
      </c>
      <c r="F1196" s="1" t="str">
        <f>"60522    "</f>
        <v xml:space="preserve">60522    </v>
      </c>
      <c r="G1196" s="1" t="str">
        <f>"8668269345"</f>
        <v>8668269345</v>
      </c>
      <c r="H1196" s="1" t="s">
        <v>2637</v>
      </c>
    </row>
    <row r="1197" spans="1:8" x14ac:dyDescent="0.25">
      <c r="A1197" s="1" t="str">
        <f>"269  "</f>
        <v xml:space="preserve">269  </v>
      </c>
      <c r="B1197" s="1" t="s">
        <v>2746</v>
      </c>
      <c r="C1197" s="1" t="s">
        <v>2747</v>
      </c>
      <c r="D1197" s="1" t="s">
        <v>2748</v>
      </c>
      <c r="E1197" s="1" t="s">
        <v>2749</v>
      </c>
      <c r="F1197" s="1" t="str">
        <f>"66212    "</f>
        <v xml:space="preserve">66212    </v>
      </c>
      <c r="G1197" s="1" t="str">
        <f>"8002556065"</f>
        <v>8002556065</v>
      </c>
      <c r="H1197" s="1" t="s">
        <v>2637</v>
      </c>
    </row>
    <row r="1198" spans="1:8" x14ac:dyDescent="0.25">
      <c r="A1198" s="1" t="str">
        <f>"785  "</f>
        <v xml:space="preserve">785  </v>
      </c>
      <c r="B1198" s="1" t="s">
        <v>2158</v>
      </c>
      <c r="C1198" s="1" t="s">
        <v>2159</v>
      </c>
      <c r="D1198" s="1" t="s">
        <v>2160</v>
      </c>
      <c r="E1198" s="1" t="s">
        <v>2832</v>
      </c>
      <c r="F1198" s="1" t="str">
        <f>"327950856"</f>
        <v>327950856</v>
      </c>
      <c r="G1198" s="1" t="str">
        <f>"8002530856"</f>
        <v>8002530856</v>
      </c>
      <c r="H1198" s="1" t="s">
        <v>2688</v>
      </c>
    </row>
    <row r="1199" spans="1:8" x14ac:dyDescent="0.25">
      <c r="A1199" s="1" t="str">
        <f>"763  "</f>
        <v xml:space="preserve">763  </v>
      </c>
      <c r="B1199" s="1" t="s">
        <v>1546</v>
      </c>
      <c r="C1199" s="1" t="s">
        <v>1547</v>
      </c>
      <c r="D1199" s="1" t="s">
        <v>2981</v>
      </c>
      <c r="E1199" s="1" t="s">
        <v>2832</v>
      </c>
      <c r="F1199" s="1" t="str">
        <f>"33631    "</f>
        <v xml:space="preserve">33631    </v>
      </c>
      <c r="G1199" s="1" t="str">
        <f>"8005257268"</f>
        <v>8005257268</v>
      </c>
      <c r="H1199" s="1" t="s">
        <v>2637</v>
      </c>
    </row>
    <row r="1200" spans="1:8" x14ac:dyDescent="0.25">
      <c r="A1200" s="1" t="s">
        <v>728</v>
      </c>
      <c r="B1200" s="1" t="s">
        <v>729</v>
      </c>
      <c r="C1200" s="1" t="s">
        <v>730</v>
      </c>
      <c r="D1200" s="1" t="s">
        <v>1381</v>
      </c>
      <c r="E1200" s="1" t="s">
        <v>2862</v>
      </c>
      <c r="F1200" s="1" t="str">
        <f>"68501    "</f>
        <v xml:space="preserve">68501    </v>
      </c>
      <c r="G1200" s="1" t="str">
        <f>"8005479515"</f>
        <v>8005479515</v>
      </c>
      <c r="H1200" s="1" t="s">
        <v>2637</v>
      </c>
    </row>
    <row r="1201" spans="1:8" x14ac:dyDescent="0.25">
      <c r="A1201" s="1" t="str">
        <f>"542  "</f>
        <v xml:space="preserve">542  </v>
      </c>
      <c r="B1201" s="1" t="s">
        <v>1169</v>
      </c>
      <c r="C1201" s="1" t="str">
        <f>"1733 PARK ST.                                     "</f>
        <v xml:space="preserve">1733 PARK ST.                                     </v>
      </c>
      <c r="D1201" s="1" t="s">
        <v>1170</v>
      </c>
      <c r="E1201" s="1" t="s">
        <v>2786</v>
      </c>
      <c r="F1201" s="1" t="str">
        <f>"60563    "</f>
        <v xml:space="preserve">60563    </v>
      </c>
      <c r="G1201" s="1" t="str">
        <f>"8006315917"</f>
        <v>8006315917</v>
      </c>
      <c r="H1201" s="1" t="s">
        <v>2637</v>
      </c>
    </row>
    <row r="1202" spans="1:8" x14ac:dyDescent="0.25">
      <c r="A1202" s="1" t="str">
        <f>"315  "</f>
        <v xml:space="preserve">315  </v>
      </c>
      <c r="B1202" s="1" t="s">
        <v>2262</v>
      </c>
      <c r="C1202" s="1" t="s">
        <v>2263</v>
      </c>
      <c r="D1202" s="1" t="s">
        <v>3013</v>
      </c>
      <c r="E1202" s="1" t="s">
        <v>2660</v>
      </c>
      <c r="F1202" s="1" t="str">
        <f>"29413    "</f>
        <v xml:space="preserve">29413    </v>
      </c>
      <c r="G1202" s="1" t="str">
        <f>"8437222115"</f>
        <v>8437222115</v>
      </c>
      <c r="H1202" s="1" t="s">
        <v>2637</v>
      </c>
    </row>
    <row r="1203" spans="1:8" x14ac:dyDescent="0.25">
      <c r="A1203" s="1" t="str">
        <f>"315DN"</f>
        <v>315DN</v>
      </c>
      <c r="B1203" s="1" t="s">
        <v>2262</v>
      </c>
      <c r="C1203" s="1" t="s">
        <v>2263</v>
      </c>
      <c r="D1203" s="1" t="s">
        <v>3013</v>
      </c>
      <c r="E1203" s="1" t="s">
        <v>2660</v>
      </c>
      <c r="F1203" s="1" t="str">
        <f>"29413    "</f>
        <v xml:space="preserve">29413    </v>
      </c>
      <c r="G1203" s="1" t="str">
        <f>"8437222115"</f>
        <v>8437222115</v>
      </c>
      <c r="H1203" s="1" t="s">
        <v>2637</v>
      </c>
    </row>
    <row r="1204" spans="1:8" x14ac:dyDescent="0.25">
      <c r="A1204" s="1" t="s">
        <v>443</v>
      </c>
      <c r="B1204" s="1" t="s">
        <v>444</v>
      </c>
      <c r="C1204" s="1" t="str">
        <f>"4341 N. BALLARD RD                                "</f>
        <v xml:space="preserve">4341 N. BALLARD RD                                </v>
      </c>
      <c r="D1204" s="1" t="s">
        <v>2666</v>
      </c>
      <c r="E1204" s="1" t="s">
        <v>2667</v>
      </c>
      <c r="F1204" s="1" t="str">
        <f>"54919    "</f>
        <v xml:space="preserve">54919    </v>
      </c>
      <c r="G1204" s="1" t="str">
        <f>"8008474836"</f>
        <v>8008474836</v>
      </c>
      <c r="H1204" s="1" t="s">
        <v>2637</v>
      </c>
    </row>
    <row r="1205" spans="1:8" x14ac:dyDescent="0.25">
      <c r="A1205" s="1" t="str">
        <f>"463  "</f>
        <v xml:space="preserve">463  </v>
      </c>
      <c r="B1205" s="1" t="s">
        <v>2812</v>
      </c>
      <c r="C1205" s="1" t="s">
        <v>2813</v>
      </c>
      <c r="D1205" s="1" t="s">
        <v>2814</v>
      </c>
      <c r="E1205" s="1" t="s">
        <v>2697</v>
      </c>
      <c r="F1205" s="1" t="str">
        <f>"17331    "</f>
        <v xml:space="preserve">17331    </v>
      </c>
      <c r="G1205" s="1" t="str">
        <f>"7176324727"</f>
        <v>7176324727</v>
      </c>
      <c r="H1205" s="1" t="s">
        <v>2637</v>
      </c>
    </row>
    <row r="1206" spans="1:8" x14ac:dyDescent="0.25">
      <c r="A1206" s="1" t="str">
        <f>"322  "</f>
        <v xml:space="preserve">322  </v>
      </c>
      <c r="B1206" s="1" t="s">
        <v>1710</v>
      </c>
      <c r="C1206" s="1" t="s">
        <v>1561</v>
      </c>
      <c r="D1206" s="1" t="s">
        <v>2854</v>
      </c>
      <c r="E1206" s="1" t="s">
        <v>2636</v>
      </c>
      <c r="F1206" s="1" t="str">
        <f>"799980624"</f>
        <v>799980624</v>
      </c>
      <c r="G1206" s="1" t="str">
        <f>"8005537654"</f>
        <v>8005537654</v>
      </c>
      <c r="H1206" s="1" t="s">
        <v>1711</v>
      </c>
    </row>
    <row r="1207" spans="1:8" x14ac:dyDescent="0.25">
      <c r="A1207" s="1" t="str">
        <f>"265  "</f>
        <v xml:space="preserve">265  </v>
      </c>
      <c r="B1207" s="1" t="s">
        <v>1456</v>
      </c>
      <c r="C1207" s="1" t="s">
        <v>1457</v>
      </c>
      <c r="D1207" s="1" t="s">
        <v>1458</v>
      </c>
      <c r="E1207" s="1" t="s">
        <v>3118</v>
      </c>
      <c r="F1207" s="1" t="str">
        <f>"02139    "</f>
        <v xml:space="preserve">02139    </v>
      </c>
      <c r="G1207" s="1" t="str">
        <f>"8662225137"</f>
        <v>8662225137</v>
      </c>
      <c r="H1207" s="1" t="s">
        <v>2795</v>
      </c>
    </row>
    <row r="1208" spans="1:8" x14ac:dyDescent="0.25">
      <c r="A1208" s="1" t="str">
        <f>"797  "</f>
        <v xml:space="preserve">797  </v>
      </c>
      <c r="B1208" s="1" t="s">
        <v>2467</v>
      </c>
      <c r="C1208" s="1" t="s">
        <v>2468</v>
      </c>
      <c r="D1208" s="1" t="s">
        <v>2635</v>
      </c>
      <c r="E1208" s="1" t="s">
        <v>2636</v>
      </c>
      <c r="F1208" s="1" t="str">
        <f>"77274    "</f>
        <v xml:space="preserve">77274    </v>
      </c>
      <c r="G1208" s="1" t="str">
        <f>"8664225009"</f>
        <v>8664225009</v>
      </c>
      <c r="H1208" s="1" t="str">
        <f>"              MEDICARE ADVANTAGE PLAN                                                                                                       "</f>
        <v xml:space="preserve">              MEDICARE ADVANTAGE PLAN                                                                                                       </v>
      </c>
    </row>
    <row r="1209" spans="1:8" x14ac:dyDescent="0.25">
      <c r="A1209" s="1" t="str">
        <f>"755  "</f>
        <v xml:space="preserve">755  </v>
      </c>
      <c r="B1209" s="1" t="s">
        <v>1371</v>
      </c>
      <c r="C1209" s="1" t="s">
        <v>1372</v>
      </c>
      <c r="D1209" s="1" t="s">
        <v>1373</v>
      </c>
      <c r="E1209" s="1" t="s">
        <v>2731</v>
      </c>
      <c r="F1209" s="1" t="str">
        <f>"70190    "</f>
        <v xml:space="preserve">70190    </v>
      </c>
      <c r="G1209" s="1" t="str">
        <f>"800596 315"</f>
        <v>800596 315</v>
      </c>
      <c r="H1209" s="1" t="s">
        <v>2637</v>
      </c>
    </row>
    <row r="1210" spans="1:8" x14ac:dyDescent="0.25">
      <c r="A1210" s="1" t="s">
        <v>2455</v>
      </c>
      <c r="B1210" s="1" t="s">
        <v>2456</v>
      </c>
      <c r="C1210" s="1" t="s">
        <v>2457</v>
      </c>
      <c r="D1210" s="1" t="s">
        <v>3157</v>
      </c>
      <c r="E1210" s="1" t="s">
        <v>2970</v>
      </c>
      <c r="F1210" s="1" t="str">
        <f>"372024070"</f>
        <v>372024070</v>
      </c>
      <c r="G1210" s="1" t="str">
        <f>"8007437141"</f>
        <v>8007437141</v>
      </c>
      <c r="H1210" s="1" t="s">
        <v>2795</v>
      </c>
    </row>
    <row r="1211" spans="1:8" x14ac:dyDescent="0.25">
      <c r="A1211" s="1" t="s">
        <v>3106</v>
      </c>
      <c r="B1211" s="1" t="s">
        <v>3107</v>
      </c>
      <c r="C1211" s="1" t="str">
        <f>"1441 MAIN ST                                      "</f>
        <v xml:space="preserve">1441 MAIN ST                                      </v>
      </c>
      <c r="D1211" s="1" t="s">
        <v>2701</v>
      </c>
      <c r="E1211" s="1" t="s">
        <v>2660</v>
      </c>
      <c r="F1211" s="1" t="str">
        <f>"29210    "</f>
        <v xml:space="preserve">29210    </v>
      </c>
      <c r="G1211" s="1" t="str">
        <f>"8664336041"</f>
        <v>8664336041</v>
      </c>
      <c r="H1211" s="1" t="s">
        <v>2637</v>
      </c>
    </row>
    <row r="1212" spans="1:8" x14ac:dyDescent="0.25">
      <c r="A1212" s="1" t="s">
        <v>452</v>
      </c>
      <c r="B1212" s="1" t="s">
        <v>453</v>
      </c>
      <c r="C1212" s="1" t="str">
        <f>"1441 MAIN ST                                      "</f>
        <v xml:space="preserve">1441 MAIN ST                                      </v>
      </c>
      <c r="D1212" s="1" t="s">
        <v>2701</v>
      </c>
      <c r="E1212" s="1" t="s">
        <v>2660</v>
      </c>
      <c r="F1212" s="1" t="str">
        <f>"29210    "</f>
        <v xml:space="preserve">29210    </v>
      </c>
      <c r="G1212" s="1" t="str">
        <f>"8664336031"</f>
        <v>8664336031</v>
      </c>
      <c r="H1212" s="1" t="s">
        <v>3195</v>
      </c>
    </row>
    <row r="1213" spans="1:8" x14ac:dyDescent="0.25">
      <c r="A1213" s="1" t="s">
        <v>2521</v>
      </c>
      <c r="B1213" s="1" t="s">
        <v>2522</v>
      </c>
      <c r="C1213" s="1" t="s">
        <v>2523</v>
      </c>
      <c r="D1213" s="1" t="s">
        <v>2737</v>
      </c>
      <c r="E1213" s="1" t="s">
        <v>2667</v>
      </c>
      <c r="F1213" s="1" t="str">
        <f>"543070888"</f>
        <v>543070888</v>
      </c>
      <c r="G1213" s="1" t="str">
        <f>"8003760110"</f>
        <v>8003760110</v>
      </c>
      <c r="H1213" s="1" t="s">
        <v>2648</v>
      </c>
    </row>
    <row r="1214" spans="1:8" x14ac:dyDescent="0.25">
      <c r="A1214" s="1" t="s">
        <v>316</v>
      </c>
      <c r="B1214" s="1" t="s">
        <v>2522</v>
      </c>
      <c r="C1214" s="1" t="s">
        <v>2523</v>
      </c>
      <c r="D1214" s="1" t="s">
        <v>2737</v>
      </c>
      <c r="E1214" s="1" t="s">
        <v>2667</v>
      </c>
      <c r="F1214" s="1" t="str">
        <f>"54307    "</f>
        <v xml:space="preserve">54307    </v>
      </c>
      <c r="G1214" s="1" t="str">
        <f>"8003760110"</f>
        <v>8003760110</v>
      </c>
      <c r="H1214" s="1" t="s">
        <v>2637</v>
      </c>
    </row>
    <row r="1215" spans="1:8" x14ac:dyDescent="0.25">
      <c r="A1215" s="1" t="s">
        <v>1522</v>
      </c>
      <c r="B1215" s="1" t="s">
        <v>1523</v>
      </c>
      <c r="C1215" s="1" t="s">
        <v>2073</v>
      </c>
      <c r="D1215" s="1" t="s">
        <v>2074</v>
      </c>
      <c r="E1215" s="1" t="s">
        <v>2636</v>
      </c>
      <c r="F1215" s="1" t="str">
        <f>"75025    "</f>
        <v xml:space="preserve">75025    </v>
      </c>
      <c r="G1215" s="1" t="str">
        <f>"8009695238"</f>
        <v>8009695238</v>
      </c>
      <c r="H1215" s="1" t="s">
        <v>2637</v>
      </c>
    </row>
    <row r="1216" spans="1:8" x14ac:dyDescent="0.25">
      <c r="A1216" s="1" t="s">
        <v>557</v>
      </c>
      <c r="B1216" s="1" t="s">
        <v>558</v>
      </c>
      <c r="C1216" s="1" t="str">
        <f>"10901 WEST 120TH AVE. STE 110                     "</f>
        <v xml:space="preserve">10901 WEST 120TH AVE. STE 110                     </v>
      </c>
      <c r="D1216" s="1" t="s">
        <v>559</v>
      </c>
      <c r="E1216" s="1" t="s">
        <v>2826</v>
      </c>
      <c r="F1216" s="1" t="str">
        <f>"80021    "</f>
        <v xml:space="preserve">80021    </v>
      </c>
      <c r="G1216" s="1" t="str">
        <f>"8007522211"</f>
        <v>8007522211</v>
      </c>
      <c r="H1216" s="1" t="s">
        <v>2637</v>
      </c>
    </row>
    <row r="1217" spans="1:8" x14ac:dyDescent="0.25">
      <c r="A1217" s="1" t="s">
        <v>632</v>
      </c>
      <c r="B1217" s="1" t="s">
        <v>633</v>
      </c>
      <c r="C1217" s="1" t="s">
        <v>634</v>
      </c>
      <c r="D1217" s="1" t="s">
        <v>2705</v>
      </c>
      <c r="E1217" s="1" t="s">
        <v>2706</v>
      </c>
      <c r="F1217" s="1" t="str">
        <f>"462030519"</f>
        <v>462030519</v>
      </c>
      <c r="G1217" s="1" t="str">
        <f>"8887770204"</f>
        <v>8887770204</v>
      </c>
      <c r="H1217" s="1" t="s">
        <v>2795</v>
      </c>
    </row>
    <row r="1218" spans="1:8" x14ac:dyDescent="0.25">
      <c r="A1218" s="1" t="s">
        <v>669</v>
      </c>
      <c r="B1218" s="1" t="s">
        <v>670</v>
      </c>
      <c r="C1218" s="1" t="str">
        <f>"310 S. MARY ST                                    "</f>
        <v xml:space="preserve">310 S. MARY ST                                    </v>
      </c>
      <c r="D1218" s="1" t="s">
        <v>2985</v>
      </c>
      <c r="E1218" s="1" t="s">
        <v>2636</v>
      </c>
      <c r="F1218" s="1" t="str">
        <f>"78205    "</f>
        <v xml:space="preserve">78205    </v>
      </c>
      <c r="G1218" s="1" t="str">
        <f>"8006606077"</f>
        <v>8006606077</v>
      </c>
      <c r="H1218" s="1" t="s">
        <v>2637</v>
      </c>
    </row>
    <row r="1219" spans="1:8" x14ac:dyDescent="0.25">
      <c r="A1219" s="1" t="s">
        <v>1915</v>
      </c>
      <c r="B1219" s="1" t="s">
        <v>1916</v>
      </c>
      <c r="C1219" s="1" t="s">
        <v>1917</v>
      </c>
      <c r="D1219" s="1" t="s">
        <v>1918</v>
      </c>
      <c r="E1219" s="1" t="s">
        <v>2832</v>
      </c>
      <c r="F1219" s="1" t="str">
        <f>"32085    "</f>
        <v xml:space="preserve">32085    </v>
      </c>
      <c r="G1219" s="1" t="str">
        <f>"8885022789"</f>
        <v>8885022789</v>
      </c>
      <c r="H1219" s="1" t="s">
        <v>2637</v>
      </c>
    </row>
    <row r="1220" spans="1:8" x14ac:dyDescent="0.25">
      <c r="A1220" s="1" t="s">
        <v>2486</v>
      </c>
      <c r="B1220" s="1" t="s">
        <v>2487</v>
      </c>
      <c r="C1220" s="1" t="str">
        <f>"4574 LAWRENCEVILLE HWY, STE 201                   "</f>
        <v xml:space="preserve">4574 LAWRENCEVILLE HWY, STE 201                   </v>
      </c>
      <c r="D1220" s="1" t="s">
        <v>2488</v>
      </c>
      <c r="E1220" s="1" t="s">
        <v>2681</v>
      </c>
      <c r="F1220" s="1" t="str">
        <f>"30047    "</f>
        <v xml:space="preserve">30047    </v>
      </c>
      <c r="G1220" s="1" t="str">
        <f>"7704517550"</f>
        <v>7704517550</v>
      </c>
      <c r="H1220" s="1" t="s">
        <v>2637</v>
      </c>
    </row>
    <row r="1221" spans="1:8" x14ac:dyDescent="0.25">
      <c r="A1221" s="1" t="str">
        <f>"788  "</f>
        <v xml:space="preserve">788  </v>
      </c>
      <c r="B1221" s="1" t="s">
        <v>1685</v>
      </c>
      <c r="C1221" s="1" t="s">
        <v>1686</v>
      </c>
      <c r="D1221" s="1" t="s">
        <v>2083</v>
      </c>
      <c r="E1221" s="1" t="s">
        <v>2697</v>
      </c>
      <c r="F1221" s="1" t="str">
        <f>"185040097"</f>
        <v>185040097</v>
      </c>
      <c r="G1221" s="1" t="str">
        <f>"8008203372"</f>
        <v>8008203372</v>
      </c>
      <c r="H1221" s="1" t="s">
        <v>2688</v>
      </c>
    </row>
    <row r="1222" spans="1:8" x14ac:dyDescent="0.25">
      <c r="A1222" s="1" t="str">
        <f>"856  "</f>
        <v xml:space="preserve">856  </v>
      </c>
      <c r="B1222" s="1" t="s">
        <v>3258</v>
      </c>
      <c r="C1222" s="1" t="s">
        <v>3259</v>
      </c>
      <c r="D1222" s="1" t="s">
        <v>2874</v>
      </c>
      <c r="E1222" s="1" t="s">
        <v>2663</v>
      </c>
      <c r="F1222" s="1" t="str">
        <f>"90051    "</f>
        <v xml:space="preserve">90051    </v>
      </c>
      <c r="G1222" s="1" t="str">
        <f>"2137422111"</f>
        <v>2137422111</v>
      </c>
      <c r="H1222" s="1" t="s">
        <v>2637</v>
      </c>
    </row>
    <row r="1223" spans="1:8" x14ac:dyDescent="0.25">
      <c r="A1223" s="1" t="str">
        <f>"112  "</f>
        <v xml:space="preserve">112  </v>
      </c>
      <c r="B1223" s="1" t="s">
        <v>3150</v>
      </c>
      <c r="C1223" s="1" t="s">
        <v>3151</v>
      </c>
      <c r="D1223" s="1" t="s">
        <v>2906</v>
      </c>
      <c r="E1223" s="1" t="s">
        <v>2677</v>
      </c>
      <c r="F1223" s="1" t="str">
        <f>"282473500"</f>
        <v>282473500</v>
      </c>
      <c r="G1223" s="1" t="str">
        <f>"7045443665"</f>
        <v>7045443665</v>
      </c>
      <c r="H1223" s="1" t="s">
        <v>3152</v>
      </c>
    </row>
    <row r="1224" spans="1:8" x14ac:dyDescent="0.25">
      <c r="A1224" s="1" t="str">
        <f>"642  "</f>
        <v xml:space="preserve">642  </v>
      </c>
      <c r="B1224" s="1" t="s">
        <v>519</v>
      </c>
      <c r="C1224" s="1" t="s">
        <v>520</v>
      </c>
      <c r="D1224" s="1" t="s">
        <v>2939</v>
      </c>
      <c r="E1224" s="1" t="s">
        <v>2667</v>
      </c>
      <c r="F1224" s="1" t="str">
        <f>"537077890"</f>
        <v>537077890</v>
      </c>
      <c r="G1224" s="1" t="str">
        <f>"8667730404"</f>
        <v>8667730404</v>
      </c>
      <c r="H1224" s="1" t="s">
        <v>2637</v>
      </c>
    </row>
    <row r="1225" spans="1:8" x14ac:dyDescent="0.25">
      <c r="A1225" s="1" t="str">
        <f>"819  "</f>
        <v xml:space="preserve">819  </v>
      </c>
      <c r="B1225" s="1" t="s">
        <v>279</v>
      </c>
      <c r="C1225" s="1" t="s">
        <v>280</v>
      </c>
      <c r="D1225" s="1" t="s">
        <v>2939</v>
      </c>
      <c r="E1225" s="1" t="s">
        <v>2667</v>
      </c>
      <c r="F1225" s="1" t="str">
        <f>"537077985"</f>
        <v>537077985</v>
      </c>
      <c r="G1225" s="1" t="str">
        <f>"8009826257"</f>
        <v>8009826257</v>
      </c>
      <c r="H1225" s="1" t="s">
        <v>281</v>
      </c>
    </row>
    <row r="1226" spans="1:8" x14ac:dyDescent="0.25">
      <c r="A1226" s="1" t="str">
        <f>"614  "</f>
        <v xml:space="preserve">614  </v>
      </c>
      <c r="B1226" s="1" t="s">
        <v>1284</v>
      </c>
      <c r="C1226" s="1" t="s">
        <v>1285</v>
      </c>
      <c r="D1226" s="1" t="s">
        <v>2528</v>
      </c>
      <c r="E1226" s="1" t="s">
        <v>2660</v>
      </c>
      <c r="F1226" s="1" t="str">
        <f>"290207031"</f>
        <v>290207031</v>
      </c>
      <c r="G1226" s="1" t="str">
        <f>"8004033950"</f>
        <v>8004033950</v>
      </c>
      <c r="H1226" s="1" t="s">
        <v>1286</v>
      </c>
    </row>
    <row r="1227" spans="1:8" x14ac:dyDescent="0.25">
      <c r="A1227" s="1" t="s">
        <v>2071</v>
      </c>
      <c r="B1227" s="1" t="s">
        <v>2072</v>
      </c>
      <c r="C1227" s="1" t="s">
        <v>2073</v>
      </c>
      <c r="D1227" s="1" t="s">
        <v>2074</v>
      </c>
      <c r="E1227" s="1" t="s">
        <v>2636</v>
      </c>
      <c r="F1227" s="1" t="str">
        <f>"75025    "</f>
        <v xml:space="preserve">75025    </v>
      </c>
      <c r="G1227" s="1" t="str">
        <f>"8002519665"</f>
        <v>8002519665</v>
      </c>
      <c r="H1227" s="1" t="s">
        <v>2075</v>
      </c>
    </row>
    <row r="1228" spans="1:8" x14ac:dyDescent="0.25">
      <c r="A1228" s="1" t="str">
        <f>"212  "</f>
        <v xml:space="preserve">212  </v>
      </c>
      <c r="B1228" s="1" t="s">
        <v>485</v>
      </c>
      <c r="C1228" s="1" t="s">
        <v>486</v>
      </c>
      <c r="D1228" s="1" t="s">
        <v>3263</v>
      </c>
      <c r="E1228" s="1" t="s">
        <v>3264</v>
      </c>
      <c r="F1228" s="1" t="str">
        <f>"52733    "</f>
        <v xml:space="preserve">52733    </v>
      </c>
      <c r="G1228" s="1" t="str">
        <f>"8476151500"</f>
        <v>8476151500</v>
      </c>
      <c r="H1228" s="1" t="s">
        <v>487</v>
      </c>
    </row>
    <row r="1229" spans="1:8" x14ac:dyDescent="0.25">
      <c r="A1229" s="1" t="str">
        <f>"703  "</f>
        <v xml:space="preserve">703  </v>
      </c>
      <c r="B1229" s="1" t="s">
        <v>1444</v>
      </c>
      <c r="C1229" s="1" t="str">
        <f>"9140 ARROW POINT BLVD.  #200                      "</f>
        <v xml:space="preserve">9140 ARROW POINT BLVD.  #200                      </v>
      </c>
      <c r="D1229" s="1" t="s">
        <v>2906</v>
      </c>
      <c r="E1229" s="1" t="s">
        <v>2677</v>
      </c>
      <c r="F1229" s="1" t="str">
        <f>"282738102"</f>
        <v>282738102</v>
      </c>
      <c r="G1229" s="1" t="str">
        <f>"7045259666"</f>
        <v>7045259666</v>
      </c>
      <c r="H1229" s="1" t="s">
        <v>2637</v>
      </c>
    </row>
    <row r="1230" spans="1:8" x14ac:dyDescent="0.25">
      <c r="A1230" s="1" t="s">
        <v>653</v>
      </c>
      <c r="B1230" s="1" t="s">
        <v>654</v>
      </c>
      <c r="C1230" s="1" t="s">
        <v>655</v>
      </c>
      <c r="D1230" s="1" t="s">
        <v>100</v>
      </c>
      <c r="E1230" s="1" t="s">
        <v>3118</v>
      </c>
      <c r="F1230" s="1" t="str">
        <f>"02471    "</f>
        <v xml:space="preserve">02471    </v>
      </c>
      <c r="G1230" s="1" t="str">
        <f>"8004238080"</f>
        <v>8004238080</v>
      </c>
      <c r="H1230" s="1" t="s">
        <v>2637</v>
      </c>
    </row>
    <row r="1231" spans="1:8" x14ac:dyDescent="0.25">
      <c r="A1231" s="1" t="str">
        <f>"376  "</f>
        <v xml:space="preserve">376  </v>
      </c>
      <c r="B1231" s="1" t="s">
        <v>98</v>
      </c>
      <c r="C1231" s="1" t="s">
        <v>99</v>
      </c>
      <c r="D1231" s="1" t="s">
        <v>100</v>
      </c>
      <c r="E1231" s="1" t="s">
        <v>3118</v>
      </c>
      <c r="F1231" s="1" t="str">
        <f>"024719171"</f>
        <v>024719171</v>
      </c>
      <c r="G1231" s="1" t="str">
        <f>"8004620224"</f>
        <v>8004620224</v>
      </c>
      <c r="H1231" s="1" t="s">
        <v>2688</v>
      </c>
    </row>
    <row r="1232" spans="1:8" x14ac:dyDescent="0.25">
      <c r="A1232" s="1" t="str">
        <f>"729  "</f>
        <v xml:space="preserve">729  </v>
      </c>
      <c r="B1232" s="1" t="s">
        <v>1301</v>
      </c>
      <c r="C1232" s="1" t="s">
        <v>1302</v>
      </c>
      <c r="D1232" s="1" t="s">
        <v>1732</v>
      </c>
      <c r="E1232" s="1" t="s">
        <v>2663</v>
      </c>
      <c r="F1232" s="1" t="str">
        <f>"958191030"</f>
        <v>958191030</v>
      </c>
      <c r="G1232" s="1" t="str">
        <f>"9164570821"</f>
        <v>9164570821</v>
      </c>
      <c r="H1232" s="1" t="s">
        <v>2735</v>
      </c>
    </row>
    <row r="1233" spans="1:8" x14ac:dyDescent="0.25">
      <c r="A1233" s="1" t="str">
        <f>"261  "</f>
        <v xml:space="preserve">261  </v>
      </c>
      <c r="B1233" s="1" t="s">
        <v>434</v>
      </c>
      <c r="C1233" s="1" t="s">
        <v>435</v>
      </c>
      <c r="D1233" s="1" t="s">
        <v>436</v>
      </c>
      <c r="E1233" s="1" t="s">
        <v>2196</v>
      </c>
      <c r="F1233" s="1" t="str">
        <f>"895203087"</f>
        <v>895203087</v>
      </c>
      <c r="G1233" s="1" t="str">
        <f>"8003153440"</f>
        <v>8003153440</v>
      </c>
      <c r="H1233" s="1" t="s">
        <v>2637</v>
      </c>
    </row>
    <row r="1234" spans="1:8" x14ac:dyDescent="0.25">
      <c r="A1234" s="1" t="s">
        <v>2128</v>
      </c>
      <c r="B1234" s="1" t="s">
        <v>2129</v>
      </c>
      <c r="C1234" s="1" t="s">
        <v>2130</v>
      </c>
      <c r="D1234" s="1" t="s">
        <v>2131</v>
      </c>
      <c r="E1234" s="1" t="s">
        <v>3118</v>
      </c>
      <c r="F1234" s="1" t="str">
        <f>"01581    "</f>
        <v xml:space="preserve">01581    </v>
      </c>
      <c r="G1234" s="1" t="str">
        <f>"8668587223"</f>
        <v>8668587223</v>
      </c>
      <c r="H1234" s="1" t="s">
        <v>2637</v>
      </c>
    </row>
    <row r="1235" spans="1:8" x14ac:dyDescent="0.25">
      <c r="A1235" s="1" t="str">
        <f>"143  "</f>
        <v xml:space="preserve">143  </v>
      </c>
      <c r="B1235" s="1" t="s">
        <v>3025</v>
      </c>
      <c r="C1235" s="1" t="s">
        <v>3026</v>
      </c>
      <c r="D1235" s="1" t="s">
        <v>2673</v>
      </c>
      <c r="E1235" s="1" t="s">
        <v>2674</v>
      </c>
      <c r="F1235" s="1" t="str">
        <f>"841300541"</f>
        <v>841300541</v>
      </c>
      <c r="G1235" s="1" t="str">
        <f>"8008269781"</f>
        <v>8008269781</v>
      </c>
      <c r="H1235" s="1" t="s">
        <v>2637</v>
      </c>
    </row>
    <row r="1236" spans="1:8" x14ac:dyDescent="0.25">
      <c r="A1236" s="1" t="str">
        <f>"356  "</f>
        <v xml:space="preserve">356  </v>
      </c>
      <c r="B1236" s="1" t="s">
        <v>3025</v>
      </c>
      <c r="C1236" s="1" t="s">
        <v>2334</v>
      </c>
      <c r="D1236" s="1" t="s">
        <v>2335</v>
      </c>
      <c r="E1236" s="1" t="s">
        <v>2749</v>
      </c>
      <c r="F1236" s="1" t="str">
        <f>"67201    "</f>
        <v xml:space="preserve">67201    </v>
      </c>
      <c r="G1236" s="1" t="str">
        <f>"8008269781"</f>
        <v>8008269781</v>
      </c>
      <c r="H1236" s="1" t="s">
        <v>2336</v>
      </c>
    </row>
    <row r="1237" spans="1:8" x14ac:dyDescent="0.25">
      <c r="A1237" s="1" t="str">
        <f>"812  "</f>
        <v xml:space="preserve">812  </v>
      </c>
      <c r="B1237" s="1" t="s">
        <v>3025</v>
      </c>
      <c r="C1237" s="1" t="s">
        <v>3026</v>
      </c>
      <c r="D1237" s="1" t="s">
        <v>2673</v>
      </c>
      <c r="E1237" s="1" t="s">
        <v>2674</v>
      </c>
      <c r="F1237" s="1" t="str">
        <f>"841300541"</f>
        <v>841300541</v>
      </c>
      <c r="G1237" s="1" t="str">
        <f>"8008269781"</f>
        <v>8008269781</v>
      </c>
      <c r="H1237" s="1" t="s">
        <v>2760</v>
      </c>
    </row>
    <row r="1238" spans="1:8" x14ac:dyDescent="0.25">
      <c r="A1238" s="1" t="str">
        <f>"139DN"</f>
        <v>139DN</v>
      </c>
      <c r="B1238" s="1" t="s">
        <v>3025</v>
      </c>
      <c r="C1238" s="1" t="s">
        <v>1719</v>
      </c>
      <c r="D1238" s="1" t="s">
        <v>3045</v>
      </c>
      <c r="E1238" s="1" t="s">
        <v>2970</v>
      </c>
      <c r="F1238" s="1" t="str">
        <f>"374228037"</f>
        <v>374228037</v>
      </c>
      <c r="G1238" s="1" t="str">
        <f>"8008269781"</f>
        <v>8008269781</v>
      </c>
      <c r="H1238" s="1" t="s">
        <v>1720</v>
      </c>
    </row>
    <row r="1239" spans="1:8" x14ac:dyDescent="0.25">
      <c r="A1239" s="1" t="s">
        <v>164</v>
      </c>
      <c r="B1239" s="1" t="s">
        <v>3025</v>
      </c>
      <c r="C1239" s="1" t="s">
        <v>165</v>
      </c>
      <c r="D1239" s="1" t="s">
        <v>1506</v>
      </c>
      <c r="E1239" s="1" t="s">
        <v>2667</v>
      </c>
      <c r="F1239" s="1" t="str">
        <f>"546568764"</f>
        <v>546568764</v>
      </c>
      <c r="G1239" s="1" t="str">
        <f>"8002368672"</f>
        <v>8002368672</v>
      </c>
      <c r="H1239" s="1" t="s">
        <v>2278</v>
      </c>
    </row>
    <row r="1240" spans="1:8" x14ac:dyDescent="0.25">
      <c r="A1240" s="1" t="str">
        <f>"967  "</f>
        <v xml:space="preserve">967  </v>
      </c>
      <c r="B1240" s="1" t="s">
        <v>359</v>
      </c>
      <c r="C1240" s="1" t="s">
        <v>360</v>
      </c>
      <c r="D1240" s="1" t="s">
        <v>2743</v>
      </c>
      <c r="E1240" s="1" t="s">
        <v>2744</v>
      </c>
      <c r="F1240" s="1" t="str">
        <f>"40223    "</f>
        <v xml:space="preserve">40223    </v>
      </c>
      <c r="G1240" s="1" t="str">
        <f>"8006781536"</f>
        <v>8006781536</v>
      </c>
      <c r="H1240" s="1" t="s">
        <v>2637</v>
      </c>
    </row>
    <row r="1241" spans="1:8" x14ac:dyDescent="0.25">
      <c r="A1241" s="1" t="str">
        <f>"701  "</f>
        <v xml:space="preserve">701  </v>
      </c>
      <c r="B1241" s="1" t="s">
        <v>1862</v>
      </c>
      <c r="C1241" s="1" t="s">
        <v>1863</v>
      </c>
      <c r="D1241" s="1" t="s">
        <v>2397</v>
      </c>
      <c r="E1241" s="1" t="s">
        <v>3118</v>
      </c>
      <c r="F1241" s="1" t="str">
        <f>"01151    "</f>
        <v xml:space="preserve">01151    </v>
      </c>
      <c r="G1241" s="1" t="str">
        <f>"8002888630"</f>
        <v>8002888630</v>
      </c>
      <c r="H1241" s="1" t="s">
        <v>2637</v>
      </c>
    </row>
    <row r="1242" spans="1:8" x14ac:dyDescent="0.25">
      <c r="A1242" s="1" t="str">
        <f>"160DN"</f>
        <v>160DN</v>
      </c>
      <c r="B1242" s="1" t="s">
        <v>1559</v>
      </c>
      <c r="C1242" s="1" t="s">
        <v>1560</v>
      </c>
      <c r="D1242" s="1" t="s">
        <v>2004</v>
      </c>
      <c r="E1242" s="1" t="s">
        <v>2786</v>
      </c>
      <c r="F1242" s="1" t="str">
        <f>"601684059"</f>
        <v>601684059</v>
      </c>
      <c r="G1242" s="1" t="str">
        <f>"8772179677"</f>
        <v>8772179677</v>
      </c>
      <c r="H1242" s="1" t="s">
        <v>2637</v>
      </c>
    </row>
    <row r="1243" spans="1:8" x14ac:dyDescent="0.25">
      <c r="A1243" s="1" t="str">
        <f>"160  "</f>
        <v xml:space="preserve">160  </v>
      </c>
      <c r="B1243" s="1" t="s">
        <v>1616</v>
      </c>
      <c r="C1243" s="1" t="s">
        <v>1617</v>
      </c>
      <c r="D1243" s="1" t="s">
        <v>2154</v>
      </c>
      <c r="E1243" s="1" t="s">
        <v>2786</v>
      </c>
      <c r="F1243" s="1" t="str">
        <f>"606804458"</f>
        <v>606804458</v>
      </c>
      <c r="G1243" s="1" t="str">
        <f>"8772179677"</f>
        <v>8772179677</v>
      </c>
      <c r="H1243" s="1" t="s">
        <v>1618</v>
      </c>
    </row>
    <row r="1244" spans="1:8" x14ac:dyDescent="0.25">
      <c r="A1244" s="1" t="s">
        <v>445</v>
      </c>
      <c r="B1244" s="1" t="s">
        <v>446</v>
      </c>
      <c r="C1244" s="1" t="str">
        <f>"233 S WACKER DR. STE. 3900                        "</f>
        <v xml:space="preserve">233 S WACKER DR. STE. 3900                        </v>
      </c>
      <c r="D1244" s="1" t="s">
        <v>2154</v>
      </c>
      <c r="E1244" s="1" t="s">
        <v>2786</v>
      </c>
      <c r="F1244" s="1" t="str">
        <f>"68606    "</f>
        <v xml:space="preserve">68606    </v>
      </c>
      <c r="G1244" s="1" t="str">
        <f>"3123247000"</f>
        <v>3123247000</v>
      </c>
      <c r="H1244" s="1" t="s">
        <v>2795</v>
      </c>
    </row>
    <row r="1245" spans="1:8" x14ac:dyDescent="0.25">
      <c r="A1245" s="1" t="str">
        <f>"556  "</f>
        <v xml:space="preserve">556  </v>
      </c>
      <c r="B1245" s="1" t="s">
        <v>3250</v>
      </c>
      <c r="C1245" s="1" t="s">
        <v>3251</v>
      </c>
      <c r="D1245" s="1" t="s">
        <v>2947</v>
      </c>
      <c r="E1245" s="1" t="s">
        <v>2706</v>
      </c>
      <c r="F1245" s="1" t="str">
        <f>"46064    "</f>
        <v xml:space="preserve">46064    </v>
      </c>
      <c r="G1245" s="1" t="str">
        <f>"7657781535"</f>
        <v>7657781535</v>
      </c>
      <c r="H1245" s="1" t="s">
        <v>2637</v>
      </c>
    </row>
    <row r="1246" spans="1:8" x14ac:dyDescent="0.25">
      <c r="A1246" s="1" t="str">
        <f>"566  "</f>
        <v xml:space="preserve">566  </v>
      </c>
      <c r="B1246" s="1" t="s">
        <v>3250</v>
      </c>
      <c r="C1246" s="1" t="s">
        <v>3251</v>
      </c>
      <c r="D1246" s="1" t="s">
        <v>2947</v>
      </c>
      <c r="E1246" s="1" t="s">
        <v>2706</v>
      </c>
      <c r="F1246" s="1" t="str">
        <f>"46064    "</f>
        <v xml:space="preserve">46064    </v>
      </c>
      <c r="G1246" s="1" t="str">
        <f>"7657781535"</f>
        <v>7657781535</v>
      </c>
      <c r="H1246" s="1" t="s">
        <v>2648</v>
      </c>
    </row>
    <row r="1247" spans="1:8" x14ac:dyDescent="0.25">
      <c r="A1247" s="1" t="str">
        <f>"517  "</f>
        <v xml:space="preserve">517  </v>
      </c>
      <c r="B1247" s="1" t="s">
        <v>1332</v>
      </c>
      <c r="C1247" s="1" t="s">
        <v>1333</v>
      </c>
      <c r="D1247" s="1" t="s">
        <v>2977</v>
      </c>
      <c r="E1247" s="1" t="s">
        <v>2858</v>
      </c>
      <c r="F1247" s="1" t="str">
        <f>"98124    "</f>
        <v xml:space="preserve">98124    </v>
      </c>
      <c r="G1247" s="1" t="str">
        <f>"8007626004"</f>
        <v>8007626004</v>
      </c>
      <c r="H1247" s="1" t="s">
        <v>2648</v>
      </c>
    </row>
    <row r="1248" spans="1:8" x14ac:dyDescent="0.25">
      <c r="A1248" s="1" t="str">
        <f>"195  "</f>
        <v xml:space="preserve">195  </v>
      </c>
      <c r="B1248" s="1" t="s">
        <v>2589</v>
      </c>
      <c r="C1248" s="1" t="s">
        <v>2590</v>
      </c>
      <c r="D1248" s="1" t="s">
        <v>2871</v>
      </c>
      <c r="E1248" s="1" t="s">
        <v>2636</v>
      </c>
      <c r="F1248" s="1" t="str">
        <f>"752655433"</f>
        <v>752655433</v>
      </c>
      <c r="G1248" s="1" t="str">
        <f>"2149547840"</f>
        <v>2149547840</v>
      </c>
      <c r="H1248" s="1" t="s">
        <v>2637</v>
      </c>
    </row>
    <row r="1249" spans="1:8" x14ac:dyDescent="0.25">
      <c r="A1249" s="1" t="str">
        <f>"693  "</f>
        <v xml:space="preserve">693  </v>
      </c>
      <c r="B1249" s="1" t="s">
        <v>1892</v>
      </c>
      <c r="C1249" s="1" t="str">
        <f>"-                                                 "</f>
        <v xml:space="preserve">-                                                 </v>
      </c>
      <c r="D1249" s="1" t="str">
        <f>"-                                      "</f>
        <v xml:space="preserve">-                                      </v>
      </c>
      <c r="E1249" s="1" t="str">
        <f>"- "</f>
        <v xml:space="preserve">- </v>
      </c>
      <c r="F1249" s="1" t="str">
        <f>"-        "</f>
        <v xml:space="preserve">-        </v>
      </c>
      <c r="G1249" s="1" t="s">
        <v>2637</v>
      </c>
      <c r="H1249" s="1" t="s">
        <v>2637</v>
      </c>
    </row>
    <row r="1250" spans="1:8" x14ac:dyDescent="0.25">
      <c r="A1250" s="1" t="str">
        <f>"501  "</f>
        <v xml:space="preserve">501  </v>
      </c>
      <c r="B1250" s="1" t="s">
        <v>3114</v>
      </c>
      <c r="C1250" s="1" t="str">
        <f>"4850 STREET ROAD                                  "</f>
        <v xml:space="preserve">4850 STREET ROAD                                  </v>
      </c>
      <c r="D1250" s="1" t="s">
        <v>3115</v>
      </c>
      <c r="E1250" s="1" t="s">
        <v>2697</v>
      </c>
      <c r="F1250" s="1" t="str">
        <f>"19049-   "</f>
        <v xml:space="preserve">19049-   </v>
      </c>
      <c r="G1250" s="1" t="str">
        <f>"8005236599"</f>
        <v>8005236599</v>
      </c>
      <c r="H1250" s="1" t="s">
        <v>2637</v>
      </c>
    </row>
    <row r="1251" spans="1:8" x14ac:dyDescent="0.25">
      <c r="A1251" s="1" t="str">
        <f>"306  "</f>
        <v xml:space="preserve">306  </v>
      </c>
      <c r="B1251" s="1" t="s">
        <v>270</v>
      </c>
      <c r="C1251" s="1" t="str">
        <f>"111 MASSACHUSETTS AVENUE, NW                      "</f>
        <v xml:space="preserve">111 MASSACHUSETTS AVENUE, NW                      </v>
      </c>
      <c r="D1251" s="1" t="s">
        <v>2691</v>
      </c>
      <c r="E1251" s="1" t="s">
        <v>2692</v>
      </c>
      <c r="F1251" s="1" t="str">
        <f>"20001    "</f>
        <v xml:space="preserve">20001    </v>
      </c>
      <c r="G1251" s="1" t="str">
        <f>"8004438087"</f>
        <v>8004438087</v>
      </c>
      <c r="H1251" s="1" t="s">
        <v>2637</v>
      </c>
    </row>
    <row r="1252" spans="1:8" x14ac:dyDescent="0.25">
      <c r="A1252" s="1" t="s">
        <v>1292</v>
      </c>
      <c r="B1252" s="1" t="s">
        <v>1293</v>
      </c>
      <c r="C1252" s="1" t="str">
        <f>"795 NORTH 400 WEST                                "</f>
        <v xml:space="preserve">795 NORTH 400 WEST                                </v>
      </c>
      <c r="D1252" s="1" t="s">
        <v>1107</v>
      </c>
      <c r="E1252" s="1" t="s">
        <v>2674</v>
      </c>
      <c r="F1252" s="1" t="str">
        <f>"84103    "</f>
        <v xml:space="preserve">84103    </v>
      </c>
      <c r="G1252" s="1" t="str">
        <f>"8005470421"</f>
        <v>8005470421</v>
      </c>
      <c r="H1252" s="1" t="s">
        <v>2760</v>
      </c>
    </row>
    <row r="1253" spans="1:8" x14ac:dyDescent="0.25">
      <c r="A1253" s="1" t="str">
        <f>"439  "</f>
        <v xml:space="preserve">439  </v>
      </c>
      <c r="B1253" s="1" t="s">
        <v>1802</v>
      </c>
      <c r="C1253" s="1" t="s">
        <v>1803</v>
      </c>
      <c r="D1253" s="1" t="s">
        <v>2854</v>
      </c>
      <c r="E1253" s="1" t="s">
        <v>2636</v>
      </c>
      <c r="F1253" s="1" t="str">
        <f>"79998    "</f>
        <v xml:space="preserve">79998    </v>
      </c>
      <c r="G1253" s="1" t="str">
        <f>"8004446254"</f>
        <v>8004446254</v>
      </c>
      <c r="H1253" s="1" t="s">
        <v>1711</v>
      </c>
    </row>
    <row r="1254" spans="1:8" x14ac:dyDescent="0.25">
      <c r="A1254" s="1" t="s">
        <v>3103</v>
      </c>
      <c r="B1254" s="1" t="s">
        <v>3104</v>
      </c>
      <c r="C1254" s="1" t="str">
        <f>"250 BERRYHILL RD                                  "</f>
        <v xml:space="preserve">250 BERRYHILL RD                                  </v>
      </c>
      <c r="D1254" s="1" t="s">
        <v>2701</v>
      </c>
      <c r="E1254" s="1" t="s">
        <v>2660</v>
      </c>
      <c r="F1254" s="1" t="str">
        <f>"29210    "</f>
        <v xml:space="preserve">29210    </v>
      </c>
      <c r="G1254" s="1" t="str">
        <f>"8037985852"</f>
        <v>8037985852</v>
      </c>
      <c r="H1254" s="1" t="s">
        <v>3105</v>
      </c>
    </row>
    <row r="1255" spans="1:8" x14ac:dyDescent="0.25">
      <c r="A1255" s="1" t="str">
        <f>"638  "</f>
        <v xml:space="preserve">638  </v>
      </c>
      <c r="B1255" s="1" t="s">
        <v>324</v>
      </c>
      <c r="C1255" s="1" t="str">
        <f>"250 BERRYHILL RD                                  "</f>
        <v xml:space="preserve">250 BERRYHILL RD                                  </v>
      </c>
      <c r="D1255" s="1" t="s">
        <v>2701</v>
      </c>
      <c r="E1255" s="1" t="s">
        <v>2660</v>
      </c>
      <c r="F1255" s="1" t="str">
        <f>"29210    "</f>
        <v xml:space="preserve">29210    </v>
      </c>
      <c r="G1255" s="1" t="str">
        <f>"8037985852"</f>
        <v>8037985852</v>
      </c>
      <c r="H1255" s="1" t="s">
        <v>3195</v>
      </c>
    </row>
    <row r="1256" spans="1:8" x14ac:dyDescent="0.25">
      <c r="A1256" s="1" t="str">
        <f>"449  "</f>
        <v xml:space="preserve">449  </v>
      </c>
      <c r="B1256" s="1" t="s">
        <v>2087</v>
      </c>
      <c r="C1256" s="1" t="s">
        <v>2088</v>
      </c>
      <c r="D1256" s="1" t="s">
        <v>2089</v>
      </c>
      <c r="E1256" s="1" t="s">
        <v>2663</v>
      </c>
      <c r="F1256" s="1" t="str">
        <f>"926906080"</f>
        <v>926906080</v>
      </c>
      <c r="G1256" s="1" t="str">
        <f>"8008721187"</f>
        <v>8008721187</v>
      </c>
      <c r="H1256" s="1" t="s">
        <v>2688</v>
      </c>
    </row>
    <row r="1257" spans="1:8" x14ac:dyDescent="0.25">
      <c r="A1257" s="1" t="str">
        <f>"277  "</f>
        <v xml:space="preserve">277  </v>
      </c>
      <c r="B1257" s="1" t="s">
        <v>1052</v>
      </c>
      <c r="C1257" s="1" t="s">
        <v>1053</v>
      </c>
      <c r="D1257" s="1" t="s">
        <v>1054</v>
      </c>
      <c r="E1257" s="1" t="s">
        <v>2636</v>
      </c>
      <c r="F1257" s="1" t="str">
        <f>"750708080"</f>
        <v>750708080</v>
      </c>
      <c r="G1257" s="1" t="str">
        <f>"9725295085"</f>
        <v>9725295085</v>
      </c>
      <c r="H1257" s="1" t="s">
        <v>2637</v>
      </c>
    </row>
    <row r="1258" spans="1:8" x14ac:dyDescent="0.25">
      <c r="A1258" s="1" t="str">
        <f>"871  "</f>
        <v xml:space="preserve">871  </v>
      </c>
      <c r="B1258" s="1" t="s">
        <v>1227</v>
      </c>
      <c r="C1258" s="1" t="s">
        <v>1228</v>
      </c>
      <c r="D1258" s="1" t="s">
        <v>2867</v>
      </c>
      <c r="E1258" s="1" t="s">
        <v>2902</v>
      </c>
      <c r="F1258" s="1" t="str">
        <f>"55816    "</f>
        <v xml:space="preserve">55816    </v>
      </c>
      <c r="G1258" s="1" t="str">
        <f>"8008776003"</f>
        <v>8008776003</v>
      </c>
      <c r="H1258" s="1" t="s">
        <v>2688</v>
      </c>
    </row>
    <row r="1259" spans="1:8" x14ac:dyDescent="0.25">
      <c r="A1259" s="1" t="s">
        <v>1902</v>
      </c>
      <c r="B1259" s="1" t="s">
        <v>1903</v>
      </c>
      <c r="C1259" s="1" t="s">
        <v>1904</v>
      </c>
      <c r="D1259" s="1" t="s">
        <v>2673</v>
      </c>
      <c r="E1259" s="1" t="s">
        <v>2674</v>
      </c>
      <c r="F1259" s="1" t="str">
        <f>"84130    "</f>
        <v xml:space="preserve">84130    </v>
      </c>
      <c r="G1259" s="1" t="str">
        <f>"8005575745"</f>
        <v>8005575745</v>
      </c>
      <c r="H1259" s="1" t="s">
        <v>2637</v>
      </c>
    </row>
    <row r="1260" spans="1:8" x14ac:dyDescent="0.25">
      <c r="A1260" s="1" t="str">
        <f>"196  "</f>
        <v xml:space="preserve">196  </v>
      </c>
      <c r="B1260" s="1" t="s">
        <v>2638</v>
      </c>
      <c r="C1260" s="1" t="str">
        <f>"3909 HULEN ST                                     "</f>
        <v xml:space="preserve">3909 HULEN ST                                     </v>
      </c>
      <c r="D1260" s="1" t="s">
        <v>2639</v>
      </c>
      <c r="E1260" s="1" t="s">
        <v>2636</v>
      </c>
      <c r="F1260" s="1" t="str">
        <f>"76107    "</f>
        <v xml:space="preserve">76107    </v>
      </c>
      <c r="G1260" s="1" t="str">
        <f>"8007320657"</f>
        <v>8007320657</v>
      </c>
      <c r="H1260" s="1" t="s">
        <v>2637</v>
      </c>
    </row>
    <row r="1261" spans="1:8" x14ac:dyDescent="0.25">
      <c r="A1261" s="1" t="str">
        <f>"565  "</f>
        <v xml:space="preserve">565  </v>
      </c>
      <c r="B1261" s="1" t="s">
        <v>2211</v>
      </c>
      <c r="C1261" s="1" t="s">
        <v>2212</v>
      </c>
      <c r="D1261" s="1" t="s">
        <v>2213</v>
      </c>
      <c r="E1261" s="1" t="s">
        <v>2832</v>
      </c>
      <c r="F1261" s="1" t="str">
        <f>"321152480"</f>
        <v>321152480</v>
      </c>
      <c r="G1261" s="1" t="str">
        <f>"8004344890"</f>
        <v>8004344890</v>
      </c>
      <c r="H1261" s="1" t="s">
        <v>2214</v>
      </c>
    </row>
    <row r="1262" spans="1:8" x14ac:dyDescent="0.25">
      <c r="A1262" s="1" t="str">
        <f>"103  "</f>
        <v xml:space="preserve">103  </v>
      </c>
      <c r="B1262" s="1" t="s">
        <v>996</v>
      </c>
      <c r="C1262" s="1" t="str">
        <f>"10835 N. 25TH AVE. 105                            "</f>
        <v xml:space="preserve">10835 N. 25TH AVE. 105                            </v>
      </c>
      <c r="D1262" s="1" t="s">
        <v>2808</v>
      </c>
      <c r="E1262" s="1" t="s">
        <v>2809</v>
      </c>
      <c r="F1262" s="1" t="str">
        <f>"85029    "</f>
        <v xml:space="preserve">85029    </v>
      </c>
      <c r="G1262" s="1" t="str">
        <f>"8667448482"</f>
        <v>8667448482</v>
      </c>
      <c r="H1262" s="1" t="s">
        <v>2688</v>
      </c>
    </row>
    <row r="1263" spans="1:8" x14ac:dyDescent="0.25">
      <c r="A1263" s="1" t="str">
        <f>"124  "</f>
        <v xml:space="preserve">124  </v>
      </c>
      <c r="B1263" s="1" t="s">
        <v>153</v>
      </c>
      <c r="C1263" s="1" t="s">
        <v>154</v>
      </c>
      <c r="D1263" s="1" t="s">
        <v>2923</v>
      </c>
      <c r="E1263" s="1" t="s">
        <v>2714</v>
      </c>
      <c r="F1263" s="1" t="str">
        <f>"43215    "</f>
        <v xml:space="preserve">43215    </v>
      </c>
      <c r="G1263" s="1" t="str">
        <f>"8008480123"</f>
        <v>8008480123</v>
      </c>
      <c r="H1263" s="1" t="s">
        <v>2637</v>
      </c>
    </row>
    <row r="1264" spans="1:8" x14ac:dyDescent="0.25">
      <c r="A1264" s="1" t="str">
        <f>"737  "</f>
        <v xml:space="preserve">737  </v>
      </c>
      <c r="B1264" s="1" t="s">
        <v>2053</v>
      </c>
      <c r="C1264" s="1" t="s">
        <v>2054</v>
      </c>
      <c r="D1264" s="1" t="s">
        <v>3289</v>
      </c>
      <c r="E1264" s="1" t="s">
        <v>2697</v>
      </c>
      <c r="F1264" s="1" t="str">
        <f>"17106    "</f>
        <v xml:space="preserve">17106    </v>
      </c>
      <c r="G1264" s="1" t="str">
        <f>"8003320366"</f>
        <v>8003320366</v>
      </c>
      <c r="H1264" s="1" t="s">
        <v>2637</v>
      </c>
    </row>
    <row r="1265" spans="1:8" x14ac:dyDescent="0.25">
      <c r="A1265" s="1" t="str">
        <f>"794  "</f>
        <v xml:space="preserve">794  </v>
      </c>
      <c r="B1265" s="1" t="s">
        <v>640</v>
      </c>
      <c r="C1265" s="1" t="s">
        <v>641</v>
      </c>
      <c r="D1265" s="1" t="s">
        <v>2717</v>
      </c>
      <c r="E1265" s="1" t="s">
        <v>2681</v>
      </c>
      <c r="F1265" s="1" t="str">
        <f>"30371    "</f>
        <v xml:space="preserve">30371    </v>
      </c>
      <c r="G1265" s="1" t="str">
        <f>"4046593300"</f>
        <v>4046593300</v>
      </c>
      <c r="H1265" s="1" t="s">
        <v>2637</v>
      </c>
    </row>
    <row r="1266" spans="1:8" x14ac:dyDescent="0.25">
      <c r="A1266" s="1" t="str">
        <f>"704  "</f>
        <v xml:space="preserve">704  </v>
      </c>
      <c r="B1266" s="1" t="s">
        <v>1490</v>
      </c>
      <c r="C1266" s="1" t="str">
        <f>"1800 PHOENIX BLVD.  SUITE 310                     "</f>
        <v xml:space="preserve">1800 PHOENIX BLVD.  SUITE 310                     </v>
      </c>
      <c r="D1266" s="1" t="s">
        <v>2717</v>
      </c>
      <c r="E1266" s="1" t="s">
        <v>2681</v>
      </c>
      <c r="F1266" s="1" t="str">
        <f>"30349    "</f>
        <v xml:space="preserve">30349    </v>
      </c>
      <c r="G1266" s="1" t="str">
        <f>"8002417701"</f>
        <v>8002417701</v>
      </c>
      <c r="H1266" s="1" t="s">
        <v>2637</v>
      </c>
    </row>
    <row r="1267" spans="1:8" x14ac:dyDescent="0.25">
      <c r="A1267" s="1" t="str">
        <f>"421  "</f>
        <v xml:space="preserve">421  </v>
      </c>
      <c r="B1267" s="1" t="s">
        <v>2645</v>
      </c>
      <c r="C1267" s="1" t="str">
        <f>"911 RIDGEBROOK RD                                 "</f>
        <v xml:space="preserve">911 RIDGEBROOK RD                                 </v>
      </c>
      <c r="D1267" s="1" t="s">
        <v>2646</v>
      </c>
      <c r="E1267" s="1" t="s">
        <v>2647</v>
      </c>
      <c r="F1267" s="1" t="str">
        <f>"211529451"</f>
        <v>211529451</v>
      </c>
      <c r="G1267" s="1" t="str">
        <f>"8006382972"</f>
        <v>8006382972</v>
      </c>
      <c r="H1267" s="1" t="s">
        <v>2648</v>
      </c>
    </row>
    <row r="1268" spans="1:8" x14ac:dyDescent="0.25">
      <c r="A1268" s="1" t="str">
        <f>"340  "</f>
        <v xml:space="preserve">340  </v>
      </c>
      <c r="B1268" s="1" t="s">
        <v>596</v>
      </c>
      <c r="C1268" s="1" t="str">
        <f>"3800 23RD AVE OF THE CITIES, STE 200              "</f>
        <v xml:space="preserve">3800 23RD AVE OF THE CITIES, STE 200              </v>
      </c>
      <c r="D1268" s="1" t="s">
        <v>134</v>
      </c>
      <c r="E1268" s="1" t="s">
        <v>2786</v>
      </c>
      <c r="F1268" s="1" t="str">
        <f>"61265    "</f>
        <v xml:space="preserve">61265    </v>
      </c>
      <c r="G1268" s="1" t="str">
        <f>"8002246602"</f>
        <v>8002246602</v>
      </c>
      <c r="H1268" s="1" t="s">
        <v>597</v>
      </c>
    </row>
    <row r="1269" spans="1:8" x14ac:dyDescent="0.25">
      <c r="A1269" s="1" t="str">
        <f>"715  "</f>
        <v xml:space="preserve">715  </v>
      </c>
      <c r="B1269" s="1" t="s">
        <v>617</v>
      </c>
      <c r="C1269" s="1" t="s">
        <v>618</v>
      </c>
      <c r="D1269" s="1" t="s">
        <v>2867</v>
      </c>
      <c r="E1269" s="1" t="s">
        <v>2902</v>
      </c>
      <c r="F1269" s="1" t="str">
        <f>"558168200"</f>
        <v>558168200</v>
      </c>
      <c r="G1269" s="1" t="str">
        <f>"8005262414"</f>
        <v>8005262414</v>
      </c>
      <c r="H1269" s="1" t="s">
        <v>619</v>
      </c>
    </row>
    <row r="1270" spans="1:8" x14ac:dyDescent="0.25">
      <c r="A1270" s="1" t="str">
        <f>"113  "</f>
        <v xml:space="preserve">113  </v>
      </c>
      <c r="B1270" s="1" t="s">
        <v>1983</v>
      </c>
      <c r="C1270" s="1" t="s">
        <v>1984</v>
      </c>
      <c r="D1270" s="1" t="s">
        <v>2717</v>
      </c>
      <c r="E1270" s="1" t="s">
        <v>2681</v>
      </c>
      <c r="F1270" s="1" t="str">
        <f>"303740800"</f>
        <v>303740800</v>
      </c>
      <c r="G1270" s="1" t="str">
        <f>"8778423210"</f>
        <v>8778423210</v>
      </c>
      <c r="H1270" s="1" t="s">
        <v>2637</v>
      </c>
    </row>
    <row r="1271" spans="1:8" x14ac:dyDescent="0.25">
      <c r="A1271" s="1" t="str">
        <f>"113DN"</f>
        <v>113DN</v>
      </c>
      <c r="B1271" s="1" t="s">
        <v>1983</v>
      </c>
      <c r="C1271" s="1" t="s">
        <v>874</v>
      </c>
      <c r="D1271" s="1" t="s">
        <v>2673</v>
      </c>
      <c r="E1271" s="1" t="s">
        <v>2674</v>
      </c>
      <c r="F1271" s="1" t="str">
        <f>"84130    "</f>
        <v xml:space="preserve">84130    </v>
      </c>
      <c r="G1271" s="1" t="str">
        <f>"8005215505"</f>
        <v>8005215505</v>
      </c>
      <c r="H1271" s="1" t="s">
        <v>2637</v>
      </c>
    </row>
    <row r="1272" spans="1:8" x14ac:dyDescent="0.25">
      <c r="A1272" s="1" t="str">
        <f>"825  "</f>
        <v xml:space="preserve">825  </v>
      </c>
      <c r="B1272" s="1" t="s">
        <v>1152</v>
      </c>
      <c r="C1272" s="1" t="s">
        <v>1153</v>
      </c>
      <c r="D1272" s="1" t="s">
        <v>1154</v>
      </c>
      <c r="E1272" s="1" t="s">
        <v>2773</v>
      </c>
      <c r="F1272" s="1" t="str">
        <f>"12402    "</f>
        <v xml:space="preserve">12402    </v>
      </c>
      <c r="G1272" s="1" t="str">
        <f>"8006009007"</f>
        <v>8006009007</v>
      </c>
      <c r="H1272" s="1" t="s">
        <v>2795</v>
      </c>
    </row>
    <row r="1273" spans="1:8" x14ac:dyDescent="0.25">
      <c r="A1273" s="1" t="str">
        <f>"923  "</f>
        <v xml:space="preserve">923  </v>
      </c>
      <c r="B1273" s="1" t="s">
        <v>1152</v>
      </c>
      <c r="C1273" s="1" t="s">
        <v>2916</v>
      </c>
      <c r="D1273" s="1" t="s">
        <v>2701</v>
      </c>
      <c r="E1273" s="1" t="s">
        <v>2660</v>
      </c>
      <c r="F1273" s="1" t="str">
        <f>"292606170"</f>
        <v>292606170</v>
      </c>
      <c r="G1273" s="1" t="str">
        <f>"8008682528"</f>
        <v>8008682528</v>
      </c>
      <c r="H1273" s="1" t="s">
        <v>8</v>
      </c>
    </row>
    <row r="1274" spans="1:8" x14ac:dyDescent="0.25">
      <c r="A1274" s="1" t="str">
        <f>"927  "</f>
        <v xml:space="preserve">927  </v>
      </c>
      <c r="B1274" s="1" t="s">
        <v>540</v>
      </c>
      <c r="C1274" s="1" t="s">
        <v>541</v>
      </c>
      <c r="D1274" s="1" t="s">
        <v>1154</v>
      </c>
      <c r="E1274" s="1" t="s">
        <v>2773</v>
      </c>
      <c r="F1274" s="1" t="str">
        <f>"102425230"</f>
        <v>102425230</v>
      </c>
      <c r="G1274" s="1" t="str">
        <f>"8002246602"</f>
        <v>8002246602</v>
      </c>
      <c r="H1274" s="1" t="s">
        <v>2637</v>
      </c>
    </row>
    <row r="1275" spans="1:8" x14ac:dyDescent="0.25">
      <c r="A1275" s="1" t="s">
        <v>2423</v>
      </c>
      <c r="B1275" s="1" t="s">
        <v>2424</v>
      </c>
      <c r="C1275" s="1" t="s">
        <v>2425</v>
      </c>
      <c r="D1275" s="1" t="s">
        <v>2717</v>
      </c>
      <c r="E1275" s="1" t="s">
        <v>2681</v>
      </c>
      <c r="F1275" s="1" t="str">
        <f>"303740801"</f>
        <v>303740801</v>
      </c>
      <c r="G1275" s="1" t="str">
        <f>"8008488406"</f>
        <v>8008488406</v>
      </c>
      <c r="H1275" s="1" t="s">
        <v>2760</v>
      </c>
    </row>
    <row r="1276" spans="1:8" x14ac:dyDescent="0.25">
      <c r="A1276" s="1" t="s">
        <v>1198</v>
      </c>
      <c r="B1276" s="1" t="s">
        <v>1199</v>
      </c>
      <c r="C1276" s="1" t="s">
        <v>1200</v>
      </c>
      <c r="D1276" s="1" t="s">
        <v>1122</v>
      </c>
      <c r="E1276" s="1" t="s">
        <v>2952</v>
      </c>
      <c r="F1276" s="1" t="str">
        <f>"061150450"</f>
        <v>061150450</v>
      </c>
      <c r="G1276" s="1" t="str">
        <f>"8607025000"</f>
        <v>8607025000</v>
      </c>
      <c r="H1276" s="1" t="s">
        <v>2795</v>
      </c>
    </row>
    <row r="1277" spans="1:8" x14ac:dyDescent="0.25">
      <c r="A1277" s="1" t="s">
        <v>2055</v>
      </c>
      <c r="B1277" s="1" t="s">
        <v>2056</v>
      </c>
      <c r="C1277" s="1" t="s">
        <v>2057</v>
      </c>
      <c r="D1277" s="1" t="s">
        <v>2058</v>
      </c>
      <c r="E1277" s="1" t="s">
        <v>2677</v>
      </c>
      <c r="F1277" s="1" t="str">
        <f>"274386304"</f>
        <v>274386304</v>
      </c>
      <c r="G1277" s="1" t="str">
        <f>"8009991147"</f>
        <v>8009991147</v>
      </c>
      <c r="H1277" s="1" t="s">
        <v>2637</v>
      </c>
    </row>
    <row r="1278" spans="1:8" x14ac:dyDescent="0.25">
      <c r="A1278" s="1" t="s">
        <v>3141</v>
      </c>
      <c r="B1278" s="1" t="s">
        <v>3142</v>
      </c>
      <c r="C1278" s="1" t="s">
        <v>3143</v>
      </c>
      <c r="D1278" s="1" t="s">
        <v>3144</v>
      </c>
      <c r="E1278" s="1" t="s">
        <v>2681</v>
      </c>
      <c r="F1278" s="1" t="str">
        <f>"300670092"</f>
        <v>300670092</v>
      </c>
      <c r="G1278" s="1" t="str">
        <f>"8005627079"</f>
        <v>8005627079</v>
      </c>
      <c r="H1278" s="1" t="s">
        <v>3145</v>
      </c>
    </row>
    <row r="1279" spans="1:8" x14ac:dyDescent="0.25">
      <c r="A1279" s="1" t="str">
        <f>"872  "</f>
        <v xml:space="preserve">872  </v>
      </c>
      <c r="B1279" s="1" t="s">
        <v>133</v>
      </c>
      <c r="C1279" s="1" t="str">
        <f>"3800 23RD AVE. #200                               "</f>
        <v xml:space="preserve">3800 23RD AVE. #200                               </v>
      </c>
      <c r="D1279" s="1" t="s">
        <v>134</v>
      </c>
      <c r="E1279" s="1" t="s">
        <v>2786</v>
      </c>
      <c r="F1279" s="1" t="str">
        <f>"61215    "</f>
        <v xml:space="preserve">61215    </v>
      </c>
      <c r="G1279" s="1" t="str">
        <f>"8002246602"</f>
        <v>8002246602</v>
      </c>
      <c r="H1279" s="1" t="s">
        <v>135</v>
      </c>
    </row>
    <row r="1280" spans="1:8" x14ac:dyDescent="0.25">
      <c r="A1280" s="1" t="str">
        <f>"279  "</f>
        <v xml:space="preserve">279  </v>
      </c>
      <c r="B1280" s="1" t="s">
        <v>860</v>
      </c>
      <c r="C1280" s="1" t="str">
        <f>"1 E WACKER DRIVE                                  "</f>
        <v xml:space="preserve">1 E WACKER DRIVE                                  </v>
      </c>
      <c r="D1280" s="1" t="s">
        <v>2154</v>
      </c>
      <c r="E1280" s="1" t="s">
        <v>2786</v>
      </c>
      <c r="F1280" s="1" t="str">
        <f>"60601    "</f>
        <v xml:space="preserve">60601    </v>
      </c>
      <c r="G1280" s="1" t="str">
        <f>"8007778467"</f>
        <v>8007778467</v>
      </c>
      <c r="H1280" s="1" t="s">
        <v>2637</v>
      </c>
    </row>
    <row r="1281" spans="1:8" x14ac:dyDescent="0.25">
      <c r="A1281" s="1" t="s">
        <v>256</v>
      </c>
      <c r="B1281" s="1" t="s">
        <v>257</v>
      </c>
      <c r="C1281" s="1" t="s">
        <v>258</v>
      </c>
      <c r="D1281" s="1" t="s">
        <v>3070</v>
      </c>
      <c r="E1281" s="1" t="s">
        <v>2714</v>
      </c>
      <c r="F1281" s="1" t="str">
        <f>"45214    "</f>
        <v xml:space="preserve">45214    </v>
      </c>
      <c r="G1281" s="1" t="str">
        <f>"5136193000"</f>
        <v>5136193000</v>
      </c>
      <c r="H1281" s="1" t="s">
        <v>2637</v>
      </c>
    </row>
    <row r="1282" spans="1:8" x14ac:dyDescent="0.25">
      <c r="A1282" s="1" t="str">
        <f>"720  "</f>
        <v xml:space="preserve">720  </v>
      </c>
      <c r="B1282" s="1" t="s">
        <v>2103</v>
      </c>
      <c r="C1282" s="1" t="s">
        <v>2104</v>
      </c>
      <c r="D1282" s="1" t="s">
        <v>2105</v>
      </c>
      <c r="E1282" s="1" t="s">
        <v>3164</v>
      </c>
      <c r="F1282" s="1" t="str">
        <f>"24219    "</f>
        <v xml:space="preserve">24219    </v>
      </c>
      <c r="G1282" s="1" t="str">
        <f>"8006549763"</f>
        <v>8006549763</v>
      </c>
      <c r="H1282" s="1" t="s">
        <v>2637</v>
      </c>
    </row>
    <row r="1283" spans="1:8" x14ac:dyDescent="0.25">
      <c r="A1283" s="1" t="s">
        <v>2753</v>
      </c>
      <c r="B1283" s="1" t="s">
        <v>2754</v>
      </c>
      <c r="C1283" s="1" t="str">
        <f>"2273 RESEARCH BLVD                                "</f>
        <v xml:space="preserve">2273 RESEARCH BLVD                                </v>
      </c>
      <c r="D1283" s="1" t="s">
        <v>2755</v>
      </c>
      <c r="E1283" s="1" t="s">
        <v>2647</v>
      </c>
      <c r="F1283" s="1" t="str">
        <f>"20850    "</f>
        <v xml:space="preserve">20850    </v>
      </c>
      <c r="G1283" s="1" t="str">
        <f>"8002474144"</f>
        <v>8002474144</v>
      </c>
      <c r="H1283" s="1" t="s">
        <v>2637</v>
      </c>
    </row>
    <row r="1284" spans="1:8" x14ac:dyDescent="0.25">
      <c r="A1284" s="1" t="str">
        <f>"994  "</f>
        <v xml:space="preserve">994  </v>
      </c>
      <c r="B1284" s="1" t="s">
        <v>2463</v>
      </c>
      <c r="C1284" s="1" t="s">
        <v>2464</v>
      </c>
      <c r="D1284" s="1" t="s">
        <v>2465</v>
      </c>
      <c r="E1284" s="1" t="s">
        <v>2636</v>
      </c>
      <c r="F1284" s="1" t="str">
        <f>"76182    "</f>
        <v xml:space="preserve">76182    </v>
      </c>
      <c r="G1284" s="1" t="str">
        <f>"8005198374"</f>
        <v>8005198374</v>
      </c>
      <c r="H1284" s="1" t="s">
        <v>2466</v>
      </c>
    </row>
    <row r="1285" spans="1:8" x14ac:dyDescent="0.25">
      <c r="A1285" s="1" t="str">
        <f>"721  "</f>
        <v xml:space="preserve">721  </v>
      </c>
      <c r="B1285" s="1" t="s">
        <v>2787</v>
      </c>
      <c r="C1285" s="1" t="s">
        <v>2788</v>
      </c>
      <c r="D1285" s="1" t="s">
        <v>2673</v>
      </c>
      <c r="E1285" s="1" t="s">
        <v>2674</v>
      </c>
      <c r="F1285" s="1" t="str">
        <f>"84130    "</f>
        <v xml:space="preserve">84130    </v>
      </c>
      <c r="G1285" s="1" t="str">
        <f>"8778013507"</f>
        <v>8778013507</v>
      </c>
      <c r="H1285" s="1" t="s">
        <v>2688</v>
      </c>
    </row>
    <row r="1286" spans="1:8" x14ac:dyDescent="0.25">
      <c r="A1286" s="1" t="str">
        <f>"810  "</f>
        <v xml:space="preserve">810  </v>
      </c>
      <c r="B1286" s="1" t="s">
        <v>2787</v>
      </c>
      <c r="C1286" s="1" t="s">
        <v>2788</v>
      </c>
      <c r="D1286" s="1" t="s">
        <v>2673</v>
      </c>
      <c r="E1286" s="1" t="s">
        <v>2674</v>
      </c>
      <c r="F1286" s="1" t="str">
        <f>"84130    "</f>
        <v xml:space="preserve">84130    </v>
      </c>
      <c r="G1286" s="1" t="str">
        <f>"877-801-35"</f>
        <v>877-801-35</v>
      </c>
      <c r="H1286" s="1" t="s">
        <v>2688</v>
      </c>
    </row>
    <row r="1287" spans="1:8" x14ac:dyDescent="0.25">
      <c r="A1287" s="1" t="s">
        <v>2895</v>
      </c>
      <c r="B1287" s="1" t="s">
        <v>2896</v>
      </c>
      <c r="C1287" s="1" t="s">
        <v>2897</v>
      </c>
      <c r="D1287" s="1" t="s">
        <v>2805</v>
      </c>
      <c r="E1287" s="1" t="s">
        <v>2636</v>
      </c>
      <c r="F1287" s="1" t="str">
        <f>"78755    "</f>
        <v xml:space="preserve">78755    </v>
      </c>
      <c r="G1287" s="1" t="str">
        <f>"8008808824"</f>
        <v>8008808824</v>
      </c>
      <c r="H1287" s="1" t="s">
        <v>2637</v>
      </c>
    </row>
    <row r="1288" spans="1:8" x14ac:dyDescent="0.25">
      <c r="A1288" s="1" t="str">
        <f>"493  "</f>
        <v xml:space="preserve">493  </v>
      </c>
      <c r="B1288" s="1" t="s">
        <v>1331</v>
      </c>
      <c r="C1288" s="1" t="s">
        <v>2897</v>
      </c>
      <c r="D1288" s="1" t="s">
        <v>2805</v>
      </c>
      <c r="E1288" s="1" t="s">
        <v>2636</v>
      </c>
      <c r="F1288" s="1" t="str">
        <f>"787553010"</f>
        <v>787553010</v>
      </c>
      <c r="G1288" s="1" t="str">
        <f>"8668808824"</f>
        <v>8668808824</v>
      </c>
      <c r="H1288" s="1" t="s">
        <v>2637</v>
      </c>
    </row>
    <row r="1289" spans="1:8" x14ac:dyDescent="0.25">
      <c r="A1289" s="1" t="str">
        <f>"217  "</f>
        <v xml:space="preserve">217  </v>
      </c>
      <c r="B1289" s="1" t="s">
        <v>962</v>
      </c>
      <c r="C1289" s="1" t="str">
        <f>"3316 FARNAM STREET                                "</f>
        <v xml:space="preserve">3316 FARNAM STREET                                </v>
      </c>
      <c r="D1289" s="1" t="s">
        <v>2891</v>
      </c>
      <c r="E1289" s="1" t="s">
        <v>2862</v>
      </c>
      <c r="F1289" s="1" t="str">
        <f>"68175    "</f>
        <v xml:space="preserve">68175    </v>
      </c>
      <c r="G1289" s="1" t="str">
        <f>"8776175587"</f>
        <v>8776175587</v>
      </c>
      <c r="H1289" s="1" t="s">
        <v>2637</v>
      </c>
    </row>
    <row r="1290" spans="1:8" x14ac:dyDescent="0.25">
      <c r="A1290" s="1" t="str">
        <f>"791  "</f>
        <v xml:space="preserve">791  </v>
      </c>
      <c r="B1290" s="1" t="s">
        <v>1666</v>
      </c>
      <c r="C1290" s="1" t="s">
        <v>1667</v>
      </c>
      <c r="D1290" s="1" t="s">
        <v>2673</v>
      </c>
      <c r="E1290" s="1" t="s">
        <v>2674</v>
      </c>
      <c r="F1290" s="1" t="str">
        <f>"841300786"</f>
        <v>841300786</v>
      </c>
      <c r="G1290" s="1" t="str">
        <f>"8665968447"</f>
        <v>8665968447</v>
      </c>
      <c r="H1290" s="1" t="s">
        <v>2637</v>
      </c>
    </row>
    <row r="1291" spans="1:8" x14ac:dyDescent="0.25">
      <c r="A1291" s="1" t="s">
        <v>762</v>
      </c>
      <c r="B1291" s="1" t="s">
        <v>763</v>
      </c>
      <c r="C1291" s="1" t="s">
        <v>764</v>
      </c>
      <c r="D1291" s="1" t="s">
        <v>765</v>
      </c>
      <c r="E1291" s="1" t="s">
        <v>2667</v>
      </c>
      <c r="F1291" s="1" t="str">
        <f>"535831374"</f>
        <v>535831374</v>
      </c>
      <c r="G1291" s="1" t="str">
        <f>"8003623308"</f>
        <v>8003623308</v>
      </c>
      <c r="H1291" s="1" t="s">
        <v>2637</v>
      </c>
    </row>
    <row r="1292" spans="1:8" x14ac:dyDescent="0.25">
      <c r="A1292" s="1" t="str">
        <f>"989  "</f>
        <v xml:space="preserve">989  </v>
      </c>
      <c r="B1292" s="1" t="s">
        <v>1225</v>
      </c>
      <c r="C1292" s="1" t="s">
        <v>1226</v>
      </c>
      <c r="D1292" s="1" t="s">
        <v>3180</v>
      </c>
      <c r="E1292" s="1" t="s">
        <v>2773</v>
      </c>
      <c r="F1292" s="1" t="str">
        <f>"14692    "</f>
        <v xml:space="preserve">14692    </v>
      </c>
      <c r="G1292" s="1" t="str">
        <f>"8772429464"</f>
        <v>8772429464</v>
      </c>
      <c r="H1292" s="1" t="s">
        <v>2637</v>
      </c>
    </row>
    <row r="1293" spans="1:8" x14ac:dyDescent="0.25">
      <c r="A1293" s="1" t="s">
        <v>532</v>
      </c>
      <c r="B1293" s="1" t="s">
        <v>533</v>
      </c>
      <c r="C1293" s="1" t="s">
        <v>534</v>
      </c>
      <c r="D1293" s="1" t="s">
        <v>3180</v>
      </c>
      <c r="E1293" s="1" t="s">
        <v>2773</v>
      </c>
      <c r="F1293" s="1" t="str">
        <f>"15692    "</f>
        <v xml:space="preserve">15692    </v>
      </c>
      <c r="G1293" s="1" t="str">
        <f>"8006171114"</f>
        <v>8006171114</v>
      </c>
      <c r="H1293" s="1" t="s">
        <v>2795</v>
      </c>
    </row>
    <row r="1294" spans="1:8" x14ac:dyDescent="0.25">
      <c r="A1294" s="1" t="str">
        <f>"530  "</f>
        <v xml:space="preserve">530  </v>
      </c>
      <c r="B1294" s="1" t="s">
        <v>459</v>
      </c>
      <c r="C1294" s="1" t="s">
        <v>1686</v>
      </c>
      <c r="D1294" s="1" t="s">
        <v>2083</v>
      </c>
      <c r="E1294" s="1" t="s">
        <v>2697</v>
      </c>
      <c r="F1294" s="1" t="str">
        <f>"185040097"</f>
        <v>185040097</v>
      </c>
      <c r="G1294" s="1" t="str">
        <f>"8007470622"</f>
        <v>8007470622</v>
      </c>
      <c r="H1294" s="1" t="s">
        <v>2688</v>
      </c>
    </row>
    <row r="1295" spans="1:8" x14ac:dyDescent="0.25">
      <c r="A1295" s="1" t="str">
        <f>"198  "</f>
        <v xml:space="preserve">198  </v>
      </c>
      <c r="B1295" s="1" t="s">
        <v>1039</v>
      </c>
      <c r="C1295" s="1" t="s">
        <v>1040</v>
      </c>
      <c r="D1295" s="1" t="s">
        <v>1041</v>
      </c>
      <c r="E1295" s="1" t="s">
        <v>2885</v>
      </c>
      <c r="F1295" s="1" t="str">
        <f>"735344   "</f>
        <v xml:space="preserve">735344   </v>
      </c>
      <c r="G1295" s="1" t="str">
        <f>"8003668355"</f>
        <v>8003668355</v>
      </c>
      <c r="H1295" s="1" t="s">
        <v>2648</v>
      </c>
    </row>
    <row r="1296" spans="1:8" x14ac:dyDescent="0.25">
      <c r="A1296" s="1" t="s">
        <v>2142</v>
      </c>
      <c r="B1296" s="1" t="s">
        <v>2143</v>
      </c>
      <c r="C1296" s="1" t="s">
        <v>2144</v>
      </c>
      <c r="D1296" s="1" t="s">
        <v>2145</v>
      </c>
      <c r="E1296" s="1" t="s">
        <v>2832</v>
      </c>
      <c r="F1296" s="1" t="str">
        <f>"33731    "</f>
        <v xml:space="preserve">33731    </v>
      </c>
      <c r="G1296" s="1" t="str">
        <f>"8666904842"</f>
        <v>8666904842</v>
      </c>
      <c r="H1296" s="1" t="s">
        <v>2795</v>
      </c>
    </row>
    <row r="1297" spans="1:8" x14ac:dyDescent="0.25">
      <c r="A1297" s="1" t="str">
        <f>"855  "</f>
        <v xml:space="preserve">855  </v>
      </c>
      <c r="B1297" s="1" t="s">
        <v>982</v>
      </c>
      <c r="C1297" s="1" t="s">
        <v>983</v>
      </c>
      <c r="D1297" s="1" t="s">
        <v>3085</v>
      </c>
      <c r="E1297" s="1" t="s">
        <v>3086</v>
      </c>
      <c r="F1297" s="1" t="str">
        <f>"35283    "</f>
        <v xml:space="preserve">35283    </v>
      </c>
      <c r="G1297" s="1" t="str">
        <f>"8778780914"</f>
        <v>8778780914</v>
      </c>
      <c r="H1297" s="1" t="s">
        <v>2637</v>
      </c>
    </row>
    <row r="1298" spans="1:8" x14ac:dyDescent="0.25">
      <c r="A1298" s="1" t="s">
        <v>1430</v>
      </c>
      <c r="B1298" s="1" t="s">
        <v>1431</v>
      </c>
      <c r="C1298" s="1" t="s">
        <v>1432</v>
      </c>
      <c r="D1298" s="1" t="s">
        <v>3230</v>
      </c>
      <c r="E1298" s="1" t="s">
        <v>2697</v>
      </c>
      <c r="F1298" s="1" t="str">
        <f>"15230    "</f>
        <v xml:space="preserve">15230    </v>
      </c>
      <c r="G1298" s="1" t="str">
        <f>"8773813764"</f>
        <v>8773813764</v>
      </c>
      <c r="H1298" s="1" t="s">
        <v>2637</v>
      </c>
    </row>
    <row r="1299" spans="1:8" x14ac:dyDescent="0.25">
      <c r="A1299" s="1" t="s">
        <v>245</v>
      </c>
      <c r="B1299" s="1" t="s">
        <v>246</v>
      </c>
      <c r="C1299" s="1" t="s">
        <v>1432</v>
      </c>
      <c r="D1299" s="1" t="s">
        <v>3230</v>
      </c>
      <c r="E1299" s="1" t="s">
        <v>2697</v>
      </c>
      <c r="F1299" s="1" t="str">
        <f>"15230    "</f>
        <v xml:space="preserve">15230    </v>
      </c>
      <c r="G1299" s="1" t="str">
        <f>"8773813764"</f>
        <v>8773813764</v>
      </c>
      <c r="H1299" s="1" t="s">
        <v>2795</v>
      </c>
    </row>
    <row r="1300" spans="1:8" x14ac:dyDescent="0.25">
      <c r="A1300" s="1" t="str">
        <f>"409  "</f>
        <v xml:space="preserve">409  </v>
      </c>
      <c r="B1300" s="1" t="s">
        <v>414</v>
      </c>
      <c r="C1300" s="1" t="s">
        <v>415</v>
      </c>
      <c r="D1300" s="1" t="s">
        <v>727</v>
      </c>
      <c r="E1300" s="1" t="s">
        <v>2773</v>
      </c>
      <c r="F1300" s="1" t="str">
        <f>"132176589"</f>
        <v>132176589</v>
      </c>
      <c r="G1300" s="1" t="str">
        <f>"3154221533"</f>
        <v>3154221533</v>
      </c>
      <c r="H1300" s="1" t="s">
        <v>2637</v>
      </c>
    </row>
    <row r="1301" spans="1:8" x14ac:dyDescent="0.25">
      <c r="A1301" s="1" t="str">
        <f>"777  "</f>
        <v xml:space="preserve">777  </v>
      </c>
      <c r="B1301" s="1" t="s">
        <v>169</v>
      </c>
      <c r="C1301" s="1" t="s">
        <v>170</v>
      </c>
      <c r="D1301" s="1" t="s">
        <v>171</v>
      </c>
      <c r="E1301" s="1" t="s">
        <v>2644</v>
      </c>
      <c r="F1301" s="1" t="str">
        <f>"482370504"</f>
        <v>482370504</v>
      </c>
      <c r="G1301" s="1" t="str">
        <f>"8002259674"</f>
        <v>8002259674</v>
      </c>
      <c r="H1301" s="1" t="s">
        <v>1101</v>
      </c>
    </row>
    <row r="1302" spans="1:8" x14ac:dyDescent="0.25">
      <c r="A1302" s="1" t="s">
        <v>869</v>
      </c>
      <c r="B1302" s="1" t="s">
        <v>870</v>
      </c>
      <c r="C1302" s="1" t="str">
        <f>"2425 WEST SHAW AVE                                "</f>
        <v xml:space="preserve">2425 WEST SHAW AVE                                </v>
      </c>
      <c r="D1302" s="1" t="s">
        <v>2687</v>
      </c>
      <c r="E1302" s="1" t="s">
        <v>2663</v>
      </c>
      <c r="F1302" s="1" t="str">
        <f>"93711    "</f>
        <v xml:space="preserve">93711    </v>
      </c>
      <c r="G1302" s="1" t="str">
        <f>"8004608988"</f>
        <v>8004608988</v>
      </c>
      <c r="H1302" s="1" t="s">
        <v>2637</v>
      </c>
    </row>
    <row r="1303" spans="1:8" x14ac:dyDescent="0.25">
      <c r="A1303" s="1" t="str">
        <f>"717  "</f>
        <v xml:space="preserve">717  </v>
      </c>
      <c r="B1303" s="1" t="s">
        <v>141</v>
      </c>
      <c r="C1303" s="1" t="s">
        <v>142</v>
      </c>
      <c r="D1303" s="1" t="s">
        <v>3180</v>
      </c>
      <c r="E1303" s="1" t="s">
        <v>2773</v>
      </c>
      <c r="F1303" s="1" t="str">
        <f>"146922920"</f>
        <v>146922920</v>
      </c>
      <c r="G1303" s="1" t="str">
        <f>"8009993920"</f>
        <v>8009993920</v>
      </c>
      <c r="H1303" s="1" t="s">
        <v>2688</v>
      </c>
    </row>
    <row r="1304" spans="1:8" x14ac:dyDescent="0.25">
      <c r="A1304" s="1" t="str">
        <f>"953  "</f>
        <v xml:space="preserve">953  </v>
      </c>
      <c r="B1304" s="1" t="s">
        <v>1987</v>
      </c>
      <c r="C1304" s="1" t="str">
        <f>"7301 N. 16TH ST STE 201                           "</f>
        <v xml:space="preserve">7301 N. 16TH ST STE 201                           </v>
      </c>
      <c r="D1304" s="1" t="s">
        <v>2808</v>
      </c>
      <c r="E1304" s="1" t="s">
        <v>2809</v>
      </c>
      <c r="F1304" s="1" t="str">
        <f>"85020    "</f>
        <v xml:space="preserve">85020    </v>
      </c>
      <c r="G1304" s="1" t="str">
        <f>"8008723860"</f>
        <v>8008723860</v>
      </c>
      <c r="H1304" s="1" t="s">
        <v>2688</v>
      </c>
    </row>
    <row r="1305" spans="1:8" x14ac:dyDescent="0.25">
      <c r="A1305" s="1" t="str">
        <f>"582  "</f>
        <v xml:space="preserve">582  </v>
      </c>
      <c r="B1305" s="1" t="s">
        <v>601</v>
      </c>
      <c r="C1305" s="1" t="s">
        <v>602</v>
      </c>
      <c r="D1305" s="1" t="s">
        <v>1732</v>
      </c>
      <c r="E1305" s="1" t="s">
        <v>2663</v>
      </c>
      <c r="F1305" s="1" t="str">
        <f>"958521506"</f>
        <v>958521506</v>
      </c>
      <c r="G1305" s="1" t="str">
        <f>"8005318222"</f>
        <v>8005318222</v>
      </c>
      <c r="H1305" s="1" t="s">
        <v>2637</v>
      </c>
    </row>
    <row r="1306" spans="1:8" x14ac:dyDescent="0.25">
      <c r="A1306" s="1" t="str">
        <f>"131  "</f>
        <v xml:space="preserve">131  </v>
      </c>
      <c r="B1306" s="1" t="s">
        <v>2678</v>
      </c>
      <c r="C1306" s="1" t="s">
        <v>2679</v>
      </c>
      <c r="D1306" s="1" t="s">
        <v>2680</v>
      </c>
      <c r="E1306" s="1" t="s">
        <v>2681</v>
      </c>
      <c r="F1306" s="1" t="str">
        <f>"31412    "</f>
        <v xml:space="preserve">31412    </v>
      </c>
      <c r="G1306" s="1" t="str">
        <f>"9126911551"</f>
        <v>9126911551</v>
      </c>
      <c r="H1306" s="1" t="s">
        <v>2682</v>
      </c>
    </row>
    <row r="1307" spans="1:8" x14ac:dyDescent="0.25">
      <c r="A1307" s="1" t="str">
        <f>"513  "</f>
        <v xml:space="preserve">513  </v>
      </c>
      <c r="B1307" s="1" t="s">
        <v>1632</v>
      </c>
      <c r="C1307" s="1" t="s">
        <v>1633</v>
      </c>
      <c r="D1307" s="1" t="s">
        <v>1634</v>
      </c>
      <c r="E1307" s="1" t="s">
        <v>2773</v>
      </c>
      <c r="F1307" s="1" t="str">
        <f>"12110    "</f>
        <v xml:space="preserve">12110    </v>
      </c>
      <c r="G1307" s="1" t="str">
        <f>"8002880882"</f>
        <v>8002880882</v>
      </c>
      <c r="H1307" s="1" t="s">
        <v>2637</v>
      </c>
    </row>
    <row r="1308" spans="1:8" x14ac:dyDescent="0.25">
      <c r="A1308" s="1" t="str">
        <f>"466  "</f>
        <v xml:space="preserve">466  </v>
      </c>
      <c r="B1308" s="1" t="s">
        <v>402</v>
      </c>
      <c r="C1308" s="1" t="s">
        <v>403</v>
      </c>
      <c r="D1308" s="1" t="s">
        <v>404</v>
      </c>
      <c r="E1308" s="1" t="s">
        <v>2902</v>
      </c>
      <c r="F1308" s="1" t="str">
        <f>"554420150"</f>
        <v>554420150</v>
      </c>
      <c r="G1308" s="1" t="str">
        <f>"8009554879"</f>
        <v>8009554879</v>
      </c>
      <c r="H1308" s="1" t="s">
        <v>1770</v>
      </c>
    </row>
    <row r="1309" spans="1:8" x14ac:dyDescent="0.25">
      <c r="A1309" s="1" t="str">
        <f>"633  "</f>
        <v xml:space="preserve">633  </v>
      </c>
      <c r="B1309" s="1" t="s">
        <v>1480</v>
      </c>
      <c r="C1309" s="1" t="str">
        <f>"-                                                 "</f>
        <v xml:space="preserve">-                                                 </v>
      </c>
      <c r="D1309" s="1" t="str">
        <f>"-                                      "</f>
        <v xml:space="preserve">-                                      </v>
      </c>
      <c r="E1309" s="1" t="str">
        <f>"- "</f>
        <v xml:space="preserve">- </v>
      </c>
      <c r="F1309" s="1" t="str">
        <f>"-        "</f>
        <v xml:space="preserve">-        </v>
      </c>
      <c r="G1309" s="1" t="s">
        <v>2637</v>
      </c>
      <c r="H1309" s="1" t="s">
        <v>2637</v>
      </c>
    </row>
    <row r="1310" spans="1:8" x14ac:dyDescent="0.25">
      <c r="A1310" s="1" t="str">
        <f>"962  "</f>
        <v xml:space="preserve">962  </v>
      </c>
      <c r="B1310" s="1" t="s">
        <v>998</v>
      </c>
      <c r="C1310" s="1" t="s">
        <v>999</v>
      </c>
      <c r="D1310" s="1" t="s">
        <v>1000</v>
      </c>
      <c r="E1310" s="1" t="s">
        <v>3164</v>
      </c>
      <c r="F1310" s="1" t="str">
        <f>"23439    "</f>
        <v xml:space="preserve">23439    </v>
      </c>
      <c r="G1310" s="1" t="str">
        <f>"8779344403"</f>
        <v>8779344403</v>
      </c>
      <c r="H1310" s="1" t="s">
        <v>2637</v>
      </c>
    </row>
    <row r="1311" spans="1:8" x14ac:dyDescent="0.25">
      <c r="A1311" s="1" t="str">
        <f>"491  "</f>
        <v xml:space="preserve">491  </v>
      </c>
      <c r="B1311" s="1" t="s">
        <v>1189</v>
      </c>
      <c r="C1311" s="1" t="s">
        <v>1190</v>
      </c>
      <c r="D1311" s="1" t="s">
        <v>1732</v>
      </c>
      <c r="E1311" s="1" t="s">
        <v>2663</v>
      </c>
      <c r="F1311" s="1" t="str">
        <f>"958997100"</f>
        <v>958997100</v>
      </c>
      <c r="G1311" s="1" t="str">
        <f>"8006227444"</f>
        <v>8006227444</v>
      </c>
      <c r="H1311" s="1" t="s">
        <v>2637</v>
      </c>
    </row>
    <row r="1312" spans="1:8" x14ac:dyDescent="0.25">
      <c r="A1312" s="1" t="str">
        <f>"606  "</f>
        <v xml:space="preserve">606  </v>
      </c>
      <c r="B1312" s="1" t="s">
        <v>1316</v>
      </c>
      <c r="C1312" s="1" t="s">
        <v>2637</v>
      </c>
      <c r="D1312" s="1" t="s">
        <v>2637</v>
      </c>
      <c r="E1312" s="1" t="s">
        <v>2637</v>
      </c>
      <c r="F1312" s="1" t="s">
        <v>2637</v>
      </c>
      <c r="G1312" s="1" t="s">
        <v>2637</v>
      </c>
      <c r="H1312" s="1" t="s">
        <v>2637</v>
      </c>
    </row>
    <row r="1313" spans="1:8" x14ac:dyDescent="0.25">
      <c r="A1313" s="1" t="str">
        <f>"608  "</f>
        <v xml:space="preserve">608  </v>
      </c>
      <c r="B1313" s="1" t="s">
        <v>1893</v>
      </c>
      <c r="C1313" s="1" t="s">
        <v>2637</v>
      </c>
      <c r="D1313" s="1" t="s">
        <v>2637</v>
      </c>
      <c r="E1313" s="1" t="s">
        <v>2637</v>
      </c>
      <c r="F1313" s="1" t="s">
        <v>2637</v>
      </c>
      <c r="G1313" s="1" t="s">
        <v>2637</v>
      </c>
      <c r="H1313" s="1" t="s">
        <v>2637</v>
      </c>
    </row>
    <row r="1314" spans="1:8" x14ac:dyDescent="0.25">
      <c r="A1314" s="1" t="s">
        <v>235</v>
      </c>
      <c r="B1314" s="1" t="s">
        <v>236</v>
      </c>
      <c r="C1314" s="1" t="s">
        <v>237</v>
      </c>
      <c r="D1314" s="1" t="s">
        <v>3085</v>
      </c>
      <c r="E1314" s="1" t="s">
        <v>3086</v>
      </c>
      <c r="F1314" s="1" t="str">
        <f>"352530187"</f>
        <v>352530187</v>
      </c>
      <c r="G1314" s="1" t="str">
        <f>"8642772371"</f>
        <v>8642772371</v>
      </c>
      <c r="H1314" s="1" t="s">
        <v>2240</v>
      </c>
    </row>
    <row r="1315" spans="1:8" x14ac:dyDescent="0.25">
      <c r="A1315" s="1" t="s">
        <v>573</v>
      </c>
      <c r="B1315" s="1" t="s">
        <v>574</v>
      </c>
      <c r="C1315" s="1" t="s">
        <v>575</v>
      </c>
      <c r="D1315" s="1" t="s">
        <v>1807</v>
      </c>
      <c r="E1315" s="1" t="s">
        <v>2773</v>
      </c>
      <c r="F1315" s="1" t="str">
        <f>"11747    "</f>
        <v xml:space="preserve">11747    </v>
      </c>
      <c r="G1315" s="1" t="str">
        <f>"8668089399"</f>
        <v>8668089399</v>
      </c>
      <c r="H1315" s="1" t="s">
        <v>2637</v>
      </c>
    </row>
    <row r="1316" spans="1:8" x14ac:dyDescent="0.25">
      <c r="A1316" s="1" t="str">
        <f>"549  "</f>
        <v xml:space="preserve">549  </v>
      </c>
      <c r="B1316" s="1" t="s">
        <v>1824</v>
      </c>
      <c r="C1316" s="1" t="str">
        <f>"922 W WALNUT STE A                                "</f>
        <v xml:space="preserve">922 W WALNUT STE A                                </v>
      </c>
      <c r="D1316" s="1" t="s">
        <v>1825</v>
      </c>
      <c r="E1316" s="1" t="s">
        <v>2944</v>
      </c>
      <c r="F1316" s="1" t="str">
        <f>"72756 320"</f>
        <v>72756 320</v>
      </c>
      <c r="G1316" s="1" t="str">
        <f>"5016212929"</f>
        <v>5016212929</v>
      </c>
      <c r="H1316" s="1" t="s">
        <v>1826</v>
      </c>
    </row>
    <row r="1317" spans="1:8" x14ac:dyDescent="0.25">
      <c r="A1317" s="1" t="str">
        <f>"282  "</f>
        <v xml:space="preserve">282  </v>
      </c>
      <c r="B1317" s="1" t="s">
        <v>2957</v>
      </c>
      <c r="C1317" s="1" t="s">
        <v>2958</v>
      </c>
      <c r="D1317" s="1" t="s">
        <v>2959</v>
      </c>
      <c r="E1317" s="1" t="s">
        <v>2786</v>
      </c>
      <c r="F1317" s="1" t="str">
        <f>"60017    "</f>
        <v xml:space="preserve">60017    </v>
      </c>
      <c r="G1317" s="1" t="str">
        <f>"8009470319"</f>
        <v>8009470319</v>
      </c>
      <c r="H1317" s="1" t="s">
        <v>2637</v>
      </c>
    </row>
    <row r="1318" spans="1:8" x14ac:dyDescent="0.25">
      <c r="A1318" s="1" t="str">
        <f>"841  "</f>
        <v xml:space="preserve">841  </v>
      </c>
      <c r="B1318" s="1" t="s">
        <v>2319</v>
      </c>
      <c r="C1318" s="1" t="s">
        <v>2320</v>
      </c>
      <c r="D1318" s="1" t="s">
        <v>2717</v>
      </c>
      <c r="E1318" s="1" t="s">
        <v>2681</v>
      </c>
      <c r="F1318" s="1" t="str">
        <f>"30301    "</f>
        <v xml:space="preserve">30301    </v>
      </c>
      <c r="G1318" s="1" t="str">
        <f>"8003333841"</f>
        <v>8003333841</v>
      </c>
      <c r="H1318" s="1" t="s">
        <v>2688</v>
      </c>
    </row>
    <row r="1319" spans="1:8" x14ac:dyDescent="0.25">
      <c r="A1319" s="1" t="str">
        <f>"139RX"</f>
        <v>139RX</v>
      </c>
      <c r="B1319" s="1" t="s">
        <v>2377</v>
      </c>
      <c r="C1319" s="1" t="s">
        <v>2378</v>
      </c>
      <c r="D1319" s="1" t="s">
        <v>2379</v>
      </c>
      <c r="E1319" s="1" t="s">
        <v>2667</v>
      </c>
      <c r="F1319" s="1" t="str">
        <f>"544028013"</f>
        <v>544028013</v>
      </c>
      <c r="G1319" s="1" t="str">
        <f>"8008269781"</f>
        <v>8008269781</v>
      </c>
      <c r="H1319" s="1" t="s">
        <v>2637</v>
      </c>
    </row>
    <row r="1320" spans="1:8" x14ac:dyDescent="0.25">
      <c r="A1320" s="1" t="s">
        <v>1191</v>
      </c>
      <c r="B1320" s="1" t="s">
        <v>1192</v>
      </c>
      <c r="C1320" s="1" t="s">
        <v>1193</v>
      </c>
      <c r="D1320" s="1" t="s">
        <v>2024</v>
      </c>
      <c r="E1320" s="1" t="s">
        <v>2636</v>
      </c>
      <c r="F1320" s="1" t="str">
        <f>"760999706"</f>
        <v>760999706</v>
      </c>
      <c r="G1320" s="1" t="str">
        <f>"8007582851"</f>
        <v>8007582851</v>
      </c>
      <c r="H1320" s="1" t="s">
        <v>2637</v>
      </c>
    </row>
    <row r="1321" spans="1:8" x14ac:dyDescent="0.25">
      <c r="A1321" s="1" t="str">
        <f>"779  "</f>
        <v xml:space="preserve">779  </v>
      </c>
      <c r="B1321" s="1" t="s">
        <v>2434</v>
      </c>
      <c r="C1321" s="1" t="s">
        <v>2435</v>
      </c>
      <c r="D1321" s="1" t="s">
        <v>2024</v>
      </c>
      <c r="E1321" s="1" t="s">
        <v>2636</v>
      </c>
      <c r="F1321" s="1" t="str">
        <f>"760999706"</f>
        <v>760999706</v>
      </c>
      <c r="G1321" s="1" t="str">
        <f>"8663932872"</f>
        <v>8663932872</v>
      </c>
      <c r="H1321" s="1" t="s">
        <v>2240</v>
      </c>
    </row>
    <row r="1322" spans="1:8" x14ac:dyDescent="0.25">
      <c r="A1322" s="1" t="s">
        <v>1550</v>
      </c>
      <c r="B1322" s="1" t="s">
        <v>1551</v>
      </c>
      <c r="C1322" s="1" t="s">
        <v>1552</v>
      </c>
      <c r="D1322" s="1" t="s">
        <v>3013</v>
      </c>
      <c r="E1322" s="1" t="s">
        <v>3014</v>
      </c>
      <c r="F1322" s="1" t="str">
        <f>"253302801"</f>
        <v>253302801</v>
      </c>
      <c r="G1322" s="1" t="str">
        <f>"8004354351"</f>
        <v>8004354351</v>
      </c>
      <c r="H1322" s="1" t="s">
        <v>2637</v>
      </c>
    </row>
    <row r="1323" spans="1:8" x14ac:dyDescent="0.25">
      <c r="A1323" s="1" t="s">
        <v>2982</v>
      </c>
      <c r="B1323" s="1" t="s">
        <v>2983</v>
      </c>
      <c r="C1323" s="1" t="s">
        <v>2984</v>
      </c>
      <c r="D1323" s="1" t="s">
        <v>2985</v>
      </c>
      <c r="E1323" s="1" t="s">
        <v>2636</v>
      </c>
      <c r="F1323" s="1" t="str">
        <f>"78279    "</f>
        <v xml:space="preserve">78279    </v>
      </c>
      <c r="G1323" s="1" t="str">
        <f>"8662352770"</f>
        <v>8662352770</v>
      </c>
      <c r="H1323" s="1" t="s">
        <v>2795</v>
      </c>
    </row>
    <row r="1324" spans="1:8" x14ac:dyDescent="0.25">
      <c r="A1324" s="1" t="s">
        <v>185</v>
      </c>
      <c r="B1324" s="1" t="s">
        <v>186</v>
      </c>
      <c r="C1324" s="1" t="s">
        <v>187</v>
      </c>
      <c r="D1324" s="1" t="s">
        <v>2981</v>
      </c>
      <c r="E1324" s="1" t="s">
        <v>2832</v>
      </c>
      <c r="F1324" s="1" t="str">
        <f>"33531    "</f>
        <v xml:space="preserve">33531    </v>
      </c>
      <c r="G1324" s="1" t="str">
        <f>"8662311821"</f>
        <v>8662311821</v>
      </c>
      <c r="H1324" s="1" t="s">
        <v>2795</v>
      </c>
    </row>
    <row r="1325" spans="1:8" x14ac:dyDescent="0.25">
      <c r="A1325" s="1" t="str">
        <f>"292  "</f>
        <v xml:space="preserve">292  </v>
      </c>
      <c r="B1325" s="1" t="s">
        <v>3075</v>
      </c>
      <c r="C1325" s="1" t="s">
        <v>3076</v>
      </c>
      <c r="D1325" s="1" t="s">
        <v>3077</v>
      </c>
      <c r="E1325" s="1" t="s">
        <v>3078</v>
      </c>
      <c r="F1325" s="1" t="str">
        <f>"51102    "</f>
        <v xml:space="preserve">51102    </v>
      </c>
      <c r="G1325" s="1" t="str">
        <f>"8005265710"</f>
        <v>8005265710</v>
      </c>
      <c r="H1325" s="1" t="s">
        <v>2637</v>
      </c>
    </row>
    <row r="1326" spans="1:8" x14ac:dyDescent="0.25">
      <c r="A1326" s="1" t="s">
        <v>95</v>
      </c>
      <c r="B1326" s="1" t="s">
        <v>3031</v>
      </c>
      <c r="C1326" s="1" t="s">
        <v>96</v>
      </c>
      <c r="D1326" s="1" t="s">
        <v>3033</v>
      </c>
      <c r="E1326" s="1" t="s">
        <v>3034</v>
      </c>
      <c r="F1326" s="1" t="str">
        <f>"57104    "</f>
        <v xml:space="preserve">57104    </v>
      </c>
      <c r="G1326" s="1" t="str">
        <f>"5152454500"</f>
        <v>5152454500</v>
      </c>
      <c r="H1326" s="1" t="s">
        <v>97</v>
      </c>
    </row>
    <row r="1327" spans="1:8" x14ac:dyDescent="0.25">
      <c r="A1327" s="1" t="s">
        <v>3030</v>
      </c>
      <c r="B1327" s="1" t="s">
        <v>3031</v>
      </c>
      <c r="C1327" s="1" t="s">
        <v>3032</v>
      </c>
      <c r="D1327" s="1" t="s">
        <v>3033</v>
      </c>
      <c r="E1327" s="1" t="s">
        <v>3034</v>
      </c>
      <c r="F1327" s="1" t="str">
        <f>"571175023"</f>
        <v>571175023</v>
      </c>
      <c r="G1327" s="1" t="str">
        <f>"8005268995"</f>
        <v>8005268995</v>
      </c>
      <c r="H1327" s="1" t="s">
        <v>2637</v>
      </c>
    </row>
    <row r="1328" spans="1:8" x14ac:dyDescent="0.25">
      <c r="A1328" s="1" t="str">
        <f>"252  "</f>
        <v xml:space="preserve">252  </v>
      </c>
      <c r="B1328" s="1" t="s">
        <v>1541</v>
      </c>
      <c r="C1328" s="1" t="str">
        <f>"57 STREET RD                                      "</f>
        <v xml:space="preserve">57 STREET RD                                      </v>
      </c>
      <c r="D1328" s="1" t="s">
        <v>1542</v>
      </c>
      <c r="E1328" s="1" t="s">
        <v>2697</v>
      </c>
      <c r="F1328" s="1" t="str">
        <f>"18966    "</f>
        <v xml:space="preserve">18966    </v>
      </c>
      <c r="G1328" s="1" t="str">
        <f>"8007271733"</f>
        <v>8007271733</v>
      </c>
      <c r="H1328" s="1" t="s">
        <v>2637</v>
      </c>
    </row>
    <row r="1329" spans="1:8" x14ac:dyDescent="0.25">
      <c r="A1329" s="1" t="str">
        <f>"879  "</f>
        <v xml:space="preserve">879  </v>
      </c>
      <c r="B1329" s="1" t="s">
        <v>2109</v>
      </c>
      <c r="C1329" s="1" t="s">
        <v>2110</v>
      </c>
      <c r="D1329" s="1" t="s">
        <v>2791</v>
      </c>
      <c r="E1329" s="1" t="s">
        <v>2744</v>
      </c>
      <c r="F1329" s="1" t="str">
        <f>"40742    "</f>
        <v xml:space="preserve">40742    </v>
      </c>
      <c r="G1329" s="1" t="str">
        <f>"8662083610"</f>
        <v>8662083610</v>
      </c>
      <c r="H1329" s="1" t="s">
        <v>2111</v>
      </c>
    </row>
    <row r="1330" spans="1:8" x14ac:dyDescent="0.25">
      <c r="A1330" s="1" t="s">
        <v>2205</v>
      </c>
      <c r="B1330" s="1" t="s">
        <v>2206</v>
      </c>
      <c r="C1330" s="1" t="s">
        <v>2207</v>
      </c>
      <c r="D1330" s="1" t="s">
        <v>3070</v>
      </c>
      <c r="E1330" s="1" t="s">
        <v>2714</v>
      </c>
      <c r="F1330" s="1" t="str">
        <f>"45250    "</f>
        <v xml:space="preserve">45250    </v>
      </c>
      <c r="G1330" s="1" t="str">
        <f>"8009627378"</f>
        <v>8009627378</v>
      </c>
      <c r="H1330" s="1" t="s">
        <v>2208</v>
      </c>
    </row>
    <row r="1331" spans="1:8" x14ac:dyDescent="0.25">
      <c r="A1331" s="1" t="s">
        <v>182</v>
      </c>
      <c r="B1331" s="1" t="s">
        <v>183</v>
      </c>
      <c r="C1331" s="1" t="s">
        <v>184</v>
      </c>
      <c r="D1331" s="1" t="s">
        <v>3013</v>
      </c>
      <c r="E1331" s="1" t="s">
        <v>3014</v>
      </c>
      <c r="F1331" s="1" t="str">
        <f>"253321064"</f>
        <v>253321064</v>
      </c>
      <c r="G1331" s="1" t="str">
        <f>"8004354351"</f>
        <v>8004354351</v>
      </c>
      <c r="H1331" s="1" t="s">
        <v>2637</v>
      </c>
    </row>
    <row r="1332" spans="1:8" x14ac:dyDescent="0.25">
      <c r="A1332" s="1" t="str">
        <f>"912  "</f>
        <v xml:space="preserve">912  </v>
      </c>
      <c r="B1332" s="1" t="s">
        <v>1042</v>
      </c>
      <c r="C1332" s="1" t="s">
        <v>1043</v>
      </c>
      <c r="D1332" s="1" t="s">
        <v>1044</v>
      </c>
      <c r="E1332" s="1" t="s">
        <v>2677</v>
      </c>
      <c r="F1332" s="1" t="str">
        <f>"28302    "</f>
        <v xml:space="preserve">28302    </v>
      </c>
      <c r="G1332" s="1" t="str">
        <f>"8003376288"</f>
        <v>8003376288</v>
      </c>
      <c r="H1332" s="1" t="s">
        <v>2637</v>
      </c>
    </row>
    <row r="1333" spans="1:8" x14ac:dyDescent="0.25">
      <c r="A1333" s="1" t="str">
        <f>"991  "</f>
        <v xml:space="preserve">991  </v>
      </c>
      <c r="B1333" s="1" t="s">
        <v>2312</v>
      </c>
      <c r="C1333" s="1" t="s">
        <v>2313</v>
      </c>
      <c r="D1333" s="1" t="s">
        <v>2314</v>
      </c>
      <c r="E1333" s="1" t="s">
        <v>2670</v>
      </c>
      <c r="F1333" s="1" t="str">
        <f>"63166    "</f>
        <v xml:space="preserve">63166    </v>
      </c>
      <c r="G1333" s="1" t="str">
        <f>"8883065299"</f>
        <v>8883065299</v>
      </c>
      <c r="H1333" s="1" t="s">
        <v>2637</v>
      </c>
    </row>
    <row r="1334" spans="1:8" x14ac:dyDescent="0.25">
      <c r="A1334" s="1" t="s">
        <v>747</v>
      </c>
      <c r="B1334" s="1" t="s">
        <v>748</v>
      </c>
      <c r="C1334" s="1" t="str">
        <f>"5 HOT METAL ST. SUITE 200                         "</f>
        <v xml:space="preserve">5 HOT METAL ST. SUITE 200                         </v>
      </c>
      <c r="D1334" s="1" t="s">
        <v>3230</v>
      </c>
      <c r="E1334" s="1" t="s">
        <v>2697</v>
      </c>
      <c r="F1334" s="1" t="str">
        <f>"15203    "</f>
        <v xml:space="preserve">15203    </v>
      </c>
      <c r="G1334" s="1" t="str">
        <f>"8668258152"</f>
        <v>8668258152</v>
      </c>
      <c r="H1334" s="1" t="s">
        <v>2648</v>
      </c>
    </row>
    <row r="1335" spans="1:8" x14ac:dyDescent="0.25">
      <c r="A1335" s="1" t="s">
        <v>623</v>
      </c>
      <c r="B1335" s="1" t="s">
        <v>624</v>
      </c>
      <c r="C1335" s="1" t="s">
        <v>625</v>
      </c>
      <c r="D1335" s="1" t="s">
        <v>3070</v>
      </c>
      <c r="E1335" s="1" t="s">
        <v>2714</v>
      </c>
      <c r="F1335" s="1" t="str">
        <f>"45201    "</f>
        <v xml:space="preserve">45201    </v>
      </c>
      <c r="G1335" s="1" t="str">
        <f>"5136291800"</f>
        <v>5136291800</v>
      </c>
      <c r="H1335" s="1" t="s">
        <v>2637</v>
      </c>
    </row>
    <row r="1336" spans="1:8" x14ac:dyDescent="0.25">
      <c r="A1336" s="1" t="s">
        <v>1574</v>
      </c>
      <c r="B1336" s="1" t="s">
        <v>1575</v>
      </c>
      <c r="C1336" s="1" t="s">
        <v>1470</v>
      </c>
      <c r="D1336" s="1" t="s">
        <v>2687</v>
      </c>
      <c r="E1336" s="1" t="s">
        <v>2663</v>
      </c>
      <c r="F1336" s="1" t="str">
        <f>"937478082"</f>
        <v>937478082</v>
      </c>
      <c r="G1336" s="1" t="str">
        <f>"2092514891"</f>
        <v>2092514891</v>
      </c>
      <c r="H1336" s="1" t="s">
        <v>2688</v>
      </c>
    </row>
    <row r="1337" spans="1:8" x14ac:dyDescent="0.25">
      <c r="A1337" s="1" t="str">
        <f>"415  "</f>
        <v xml:space="preserve">415  </v>
      </c>
      <c r="B1337" s="1" t="s">
        <v>2418</v>
      </c>
      <c r="C1337" s="1" t="s">
        <v>2419</v>
      </c>
      <c r="D1337" s="1" t="s">
        <v>2420</v>
      </c>
      <c r="E1337" s="1" t="s">
        <v>2644</v>
      </c>
      <c r="F1337" s="1" t="str">
        <f>"48909    "</f>
        <v xml:space="preserve">48909    </v>
      </c>
      <c r="G1337" s="1" t="str">
        <f>"5173497010"</f>
        <v>5173497010</v>
      </c>
      <c r="H1337" s="1" t="s">
        <v>2637</v>
      </c>
    </row>
    <row r="1338" spans="1:8" x14ac:dyDescent="0.25">
      <c r="A1338" s="1" t="str">
        <f>"415DN"</f>
        <v>415DN</v>
      </c>
      <c r="B1338" s="1" t="s">
        <v>2418</v>
      </c>
      <c r="C1338" s="1" t="s">
        <v>2419</v>
      </c>
      <c r="D1338" s="1" t="s">
        <v>2420</v>
      </c>
      <c r="E1338" s="1" t="s">
        <v>2644</v>
      </c>
      <c r="F1338" s="1" t="str">
        <f>"48909    "</f>
        <v xml:space="preserve">48909    </v>
      </c>
      <c r="G1338" s="1" t="str">
        <f>"5173497010"</f>
        <v>5173497010</v>
      </c>
      <c r="H1338" s="1" t="s">
        <v>2637</v>
      </c>
    </row>
    <row r="1339" spans="1:8" x14ac:dyDescent="0.25">
      <c r="A1339" s="1" t="str">
        <f>"969  "</f>
        <v xml:space="preserve">969  </v>
      </c>
      <c r="B1339" s="1" t="s">
        <v>195</v>
      </c>
      <c r="C1339" s="1" t="s">
        <v>196</v>
      </c>
      <c r="D1339" s="1" t="s">
        <v>197</v>
      </c>
      <c r="E1339" s="1" t="s">
        <v>2786</v>
      </c>
      <c r="F1339" s="1" t="str">
        <f>"60015    "</f>
        <v xml:space="preserve">60015    </v>
      </c>
      <c r="G1339" s="1" t="str">
        <f>"8002072568"</f>
        <v>8002072568</v>
      </c>
      <c r="H1339" s="1" t="s">
        <v>2637</v>
      </c>
    </row>
    <row r="1340" spans="1:8" x14ac:dyDescent="0.25">
      <c r="A1340" s="1" t="str">
        <f>"694  "</f>
        <v xml:space="preserve">694  </v>
      </c>
      <c r="B1340" s="1" t="s">
        <v>1091</v>
      </c>
      <c r="C1340" s="1" t="str">
        <f>"-                                                 "</f>
        <v xml:space="preserve">-                                                 </v>
      </c>
      <c r="D1340" s="1" t="str">
        <f>"-                                      "</f>
        <v xml:space="preserve">-                                      </v>
      </c>
      <c r="E1340" s="1" t="str">
        <f>"- "</f>
        <v xml:space="preserve">- </v>
      </c>
      <c r="F1340" s="1" t="str">
        <f>"-        "</f>
        <v xml:space="preserve">-        </v>
      </c>
      <c r="G1340" s="1" t="s">
        <v>2637</v>
      </c>
      <c r="H1340" s="1" t="s">
        <v>2637</v>
      </c>
    </row>
    <row r="1341" spans="1:8" x14ac:dyDescent="0.25">
      <c r="A1341" s="1" t="str">
        <f>"116  "</f>
        <v xml:space="preserve">116  </v>
      </c>
      <c r="B1341" s="1" t="s">
        <v>2584</v>
      </c>
      <c r="C1341" s="1" t="s">
        <v>2585</v>
      </c>
      <c r="D1341" s="1" t="s">
        <v>3157</v>
      </c>
      <c r="E1341" s="1" t="s">
        <v>2970</v>
      </c>
      <c r="F1341" s="1" t="str">
        <f>"372305154"</f>
        <v>372305154</v>
      </c>
      <c r="G1341" s="1" t="str">
        <f>"8002558109"</f>
        <v>8002558109</v>
      </c>
      <c r="H1341" s="1" t="s">
        <v>2637</v>
      </c>
    </row>
    <row r="1342" spans="1:8" x14ac:dyDescent="0.25">
      <c r="A1342" s="1" t="str">
        <f>"826  "</f>
        <v xml:space="preserve">826  </v>
      </c>
      <c r="B1342" s="1" t="s">
        <v>2828</v>
      </c>
      <c r="C1342" s="1" t="s">
        <v>2829</v>
      </c>
      <c r="D1342" s="1" t="s">
        <v>2652</v>
      </c>
      <c r="E1342" s="1" t="s">
        <v>2647</v>
      </c>
      <c r="F1342" s="1" t="str">
        <f>"21203    "</f>
        <v xml:space="preserve">21203    </v>
      </c>
      <c r="G1342" s="1" t="str">
        <f>"4105470454"</f>
        <v>4105470454</v>
      </c>
      <c r="H1342" s="1" t="s">
        <v>2637</v>
      </c>
    </row>
    <row r="1343" spans="1:8" x14ac:dyDescent="0.25">
      <c r="A1343" s="1" t="s">
        <v>2293</v>
      </c>
      <c r="B1343" s="1" t="s">
        <v>2294</v>
      </c>
      <c r="C1343" s="1" t="s">
        <v>2295</v>
      </c>
      <c r="D1343" s="1" t="s">
        <v>2296</v>
      </c>
      <c r="E1343" s="1" t="s">
        <v>2636</v>
      </c>
      <c r="F1343" s="1" t="str">
        <f>"750269025"</f>
        <v>750269025</v>
      </c>
      <c r="G1343" s="1" t="str">
        <f>"8662705223"</f>
        <v>8662705223</v>
      </c>
      <c r="H1343" s="1" t="s">
        <v>2795</v>
      </c>
    </row>
    <row r="1344" spans="1:8" x14ac:dyDescent="0.25">
      <c r="A1344" s="1" t="s">
        <v>930</v>
      </c>
      <c r="B1344" s="1" t="s">
        <v>931</v>
      </c>
      <c r="C1344" s="1" t="s">
        <v>932</v>
      </c>
      <c r="D1344" s="1" t="s">
        <v>2074</v>
      </c>
      <c r="E1344" s="1" t="s">
        <v>2636</v>
      </c>
      <c r="F1344" s="1" t="str">
        <f>"750269003"</f>
        <v>750269003</v>
      </c>
      <c r="G1344" s="1" t="str">
        <f>"8888588551"</f>
        <v>8888588551</v>
      </c>
      <c r="H1344" s="1" t="s">
        <v>2637</v>
      </c>
    </row>
    <row r="1345" spans="1:8" x14ac:dyDescent="0.25">
      <c r="A1345" s="1" t="str">
        <f>"575  "</f>
        <v xml:space="preserve">575  </v>
      </c>
      <c r="B1345" s="1" t="s">
        <v>1240</v>
      </c>
      <c r="C1345" s="1" t="s">
        <v>1241</v>
      </c>
      <c r="D1345" s="1" t="s">
        <v>2227</v>
      </c>
      <c r="E1345" s="1" t="s">
        <v>2667</v>
      </c>
      <c r="F1345" s="1" t="str">
        <f>"53008    "</f>
        <v xml:space="preserve">53008    </v>
      </c>
      <c r="G1345" s="1" t="str">
        <f>"6082769111"</f>
        <v>6082769111</v>
      </c>
      <c r="H1345" s="1" t="s">
        <v>2735</v>
      </c>
    </row>
    <row r="1346" spans="1:8" x14ac:dyDescent="0.25">
      <c r="A1346" s="1" t="str">
        <f>"768  "</f>
        <v xml:space="preserve">768  </v>
      </c>
      <c r="B1346" s="1" t="s">
        <v>981</v>
      </c>
      <c r="C1346" s="1" t="str">
        <f>"1717 WEST BROADWAY STREET                         "</f>
        <v xml:space="preserve">1717 WEST BROADWAY STREET                         </v>
      </c>
      <c r="D1346" s="1" t="s">
        <v>2939</v>
      </c>
      <c r="E1346" s="1" t="s">
        <v>2667</v>
      </c>
      <c r="F1346" s="1" t="str">
        <f>"53708    "</f>
        <v xml:space="preserve">53708    </v>
      </c>
      <c r="G1346" s="1" t="str">
        <f>"8889154158"</f>
        <v>8889154158</v>
      </c>
      <c r="H1346" s="1" t="s">
        <v>2637</v>
      </c>
    </row>
    <row r="1347" spans="1:8" x14ac:dyDescent="0.25">
      <c r="A1347" s="1" t="str">
        <f>"598  "</f>
        <v xml:space="preserve">598  </v>
      </c>
      <c r="B1347" s="1" t="s">
        <v>603</v>
      </c>
      <c r="C1347" s="1" t="str">
        <f>"6439 GARNERS FERRY RD                             "</f>
        <v xml:space="preserve">6439 GARNERS FERRY RD                             </v>
      </c>
      <c r="D1347" s="1" t="s">
        <v>2701</v>
      </c>
      <c r="E1347" s="1" t="s">
        <v>2660</v>
      </c>
      <c r="F1347" s="1" t="str">
        <f>"292091639"</f>
        <v>292091639</v>
      </c>
      <c r="G1347" s="1" t="str">
        <f>"8037764000"</f>
        <v>8037764000</v>
      </c>
      <c r="H1347" s="1" t="s">
        <v>2648</v>
      </c>
    </row>
    <row r="1348" spans="1:8" x14ac:dyDescent="0.25">
      <c r="A1348" s="1" t="str">
        <f>"285  "</f>
        <v xml:space="preserve">285  </v>
      </c>
      <c r="B1348" s="1" t="s">
        <v>1111</v>
      </c>
      <c r="C1348" s="1" t="str">
        <f>"1700 FARNAM STREET                                "</f>
        <v xml:space="preserve">1700 FARNAM STREET                                </v>
      </c>
      <c r="D1348" s="1" t="s">
        <v>2891</v>
      </c>
      <c r="E1348" s="1" t="s">
        <v>2862</v>
      </c>
      <c r="F1348" s="1" t="str">
        <f>"68102    "</f>
        <v xml:space="preserve">68102    </v>
      </c>
      <c r="G1348" s="1" t="str">
        <f>"8002253108"</f>
        <v>8002253108</v>
      </c>
      <c r="H1348" s="1" t="s">
        <v>2637</v>
      </c>
    </row>
    <row r="1349" spans="1:8" x14ac:dyDescent="0.25">
      <c r="A1349" s="1" t="s">
        <v>2327</v>
      </c>
      <c r="B1349" s="1" t="s">
        <v>2328</v>
      </c>
      <c r="C1349" s="1" t="str">
        <f>"2549 17TH STREET                                  "</f>
        <v xml:space="preserve">2549 17TH STREET                                  </v>
      </c>
      <c r="D1349" s="1" t="s">
        <v>2923</v>
      </c>
      <c r="E1349" s="1" t="s">
        <v>2706</v>
      </c>
      <c r="F1349" s="1" t="str">
        <f>"47202    "</f>
        <v xml:space="preserve">47202    </v>
      </c>
      <c r="G1349" s="1" t="str">
        <f>"8003683429"</f>
        <v>8003683429</v>
      </c>
      <c r="H1349" s="1" t="s">
        <v>2240</v>
      </c>
    </row>
    <row r="1350" spans="1:8" x14ac:dyDescent="0.25">
      <c r="A1350" s="1" t="str">
        <f>"622  "</f>
        <v xml:space="preserve">622  </v>
      </c>
      <c r="B1350" s="1" t="s">
        <v>2948</v>
      </c>
      <c r="C1350" s="1" t="s">
        <v>2637</v>
      </c>
      <c r="D1350" s="1" t="s">
        <v>2637</v>
      </c>
      <c r="E1350" s="1" t="s">
        <v>2637</v>
      </c>
      <c r="F1350" s="1" t="s">
        <v>2637</v>
      </c>
      <c r="G1350" s="1" t="s">
        <v>2637</v>
      </c>
      <c r="H1350" s="1" t="s">
        <v>2637</v>
      </c>
    </row>
    <row r="1351" spans="1:8" x14ac:dyDescent="0.25">
      <c r="A1351" s="1" t="str">
        <f>"580  "</f>
        <v xml:space="preserve">580  </v>
      </c>
      <c r="B1351" s="1" t="s">
        <v>57</v>
      </c>
      <c r="C1351" s="1" t="s">
        <v>58</v>
      </c>
      <c r="D1351" s="1" t="s">
        <v>2891</v>
      </c>
      <c r="E1351" s="1" t="s">
        <v>2862</v>
      </c>
      <c r="F1351" s="1" t="str">
        <f>"681030160"</f>
        <v>681030160</v>
      </c>
      <c r="G1351" s="1" t="str">
        <f>"4024968000"</f>
        <v>4024968000</v>
      </c>
      <c r="H1351" s="1" t="s">
        <v>2637</v>
      </c>
    </row>
    <row r="1352" spans="1:8" x14ac:dyDescent="0.25">
      <c r="A1352" s="1" t="s">
        <v>1879</v>
      </c>
      <c r="B1352" s="1" t="s">
        <v>1880</v>
      </c>
      <c r="C1352" s="1" t="str">
        <f>"4600 WITMER INDUSTRIAL ESTATES #2                 "</f>
        <v xml:space="preserve">4600 WITMER INDUSTRIAL ESTATES #2                 </v>
      </c>
      <c r="D1352" s="1" t="s">
        <v>1881</v>
      </c>
      <c r="E1352" s="1" t="s">
        <v>2773</v>
      </c>
      <c r="F1352" s="1" t="str">
        <f>"14305    "</f>
        <v xml:space="preserve">14305    </v>
      </c>
      <c r="G1352" s="1" t="str">
        <f>"8004564553"</f>
        <v>8004564553</v>
      </c>
      <c r="H1352" s="1" t="s">
        <v>1882</v>
      </c>
    </row>
    <row r="1353" spans="1:8" x14ac:dyDescent="0.25">
      <c r="A1353" s="1" t="str">
        <f>"607  "</f>
        <v xml:space="preserve">607  </v>
      </c>
      <c r="B1353" s="1" t="s">
        <v>1955</v>
      </c>
      <c r="C1353" s="1" t="s">
        <v>1956</v>
      </c>
      <c r="D1353" s="1" t="s">
        <v>2939</v>
      </c>
      <c r="E1353" s="1" t="s">
        <v>2667</v>
      </c>
      <c r="F1353" s="1" t="str">
        <f>"537077889"</f>
        <v>537077889</v>
      </c>
      <c r="G1353" s="1" t="str">
        <f>"8667730404"</f>
        <v>8667730404</v>
      </c>
      <c r="H1353" s="1" t="s">
        <v>2637</v>
      </c>
    </row>
    <row r="1354" spans="1:8" x14ac:dyDescent="0.25">
      <c r="A1354" s="1" t="s">
        <v>836</v>
      </c>
      <c r="B1354" s="1" t="s">
        <v>837</v>
      </c>
      <c r="C1354" s="1" t="s">
        <v>838</v>
      </c>
      <c r="D1354" s="1" t="s">
        <v>839</v>
      </c>
      <c r="E1354" s="1" t="s">
        <v>2952</v>
      </c>
      <c r="F1354" s="1" t="str">
        <f>"065208217"</f>
        <v>065208217</v>
      </c>
      <c r="G1354" s="1" t="str">
        <f>"2034320250"</f>
        <v>2034320250</v>
      </c>
      <c r="H1354" s="1" t="s">
        <v>2760</v>
      </c>
    </row>
    <row r="1355" spans="1:8" x14ac:dyDescent="0.25">
      <c r="A1355" s="1" t="str">
        <f>"470  "</f>
        <v xml:space="preserve">470  </v>
      </c>
      <c r="B1355" s="1" t="s">
        <v>2946</v>
      </c>
      <c r="C1355" s="1" t="str">
        <f>"1001 LEBANON RD                                   "</f>
        <v xml:space="preserve">1001 LEBANON RD                                   </v>
      </c>
      <c r="D1355" s="1" t="s">
        <v>2947</v>
      </c>
      <c r="E1355" s="1" t="s">
        <v>2660</v>
      </c>
      <c r="F1355" s="1" t="str">
        <f>"29670    "</f>
        <v xml:space="preserve">29670    </v>
      </c>
      <c r="G1355" s="1" t="str">
        <f>"8646468331"</f>
        <v>8646468331</v>
      </c>
      <c r="H1355" s="1" t="s">
        <v>2637</v>
      </c>
    </row>
    <row r="1356" spans="1:8" x14ac:dyDescent="0.25">
      <c r="A1356" s="1" t="str">
        <f>"695  "</f>
        <v xml:space="preserve">695  </v>
      </c>
      <c r="B1356" s="1" t="s">
        <v>2469</v>
      </c>
      <c r="C1356" s="1" t="str">
        <f>"-                                                 "</f>
        <v xml:space="preserve">-                                                 </v>
      </c>
      <c r="D1356" s="1" t="str">
        <f>"-                                      "</f>
        <v xml:space="preserve">-                                      </v>
      </c>
      <c r="E1356" s="1" t="str">
        <f>"- "</f>
        <v xml:space="preserve">- </v>
      </c>
      <c r="F1356" s="1" t="str">
        <f>"-        "</f>
        <v xml:space="preserve">-        </v>
      </c>
      <c r="G1356" s="1" t="s">
        <v>2637</v>
      </c>
      <c r="H1356" s="1" t="s">
        <v>2637</v>
      </c>
    </row>
    <row r="1357" spans="1:8" x14ac:dyDescent="0.25">
      <c r="A1357" s="1" t="s">
        <v>1385</v>
      </c>
      <c r="B1357" s="1" t="s">
        <v>1386</v>
      </c>
      <c r="C1357" s="1" t="s">
        <v>1387</v>
      </c>
      <c r="D1357" s="1" t="s">
        <v>1388</v>
      </c>
      <c r="E1357" s="1" t="s">
        <v>2681</v>
      </c>
      <c r="F1357" s="1" t="str">
        <f>"31709    "</f>
        <v xml:space="preserve">31709    </v>
      </c>
      <c r="G1357" s="1" t="str">
        <f>"8008417735"</f>
        <v>8008417735</v>
      </c>
      <c r="H1357" s="1" t="s">
        <v>1389</v>
      </c>
    </row>
    <row r="1358" spans="1:8" x14ac:dyDescent="0.25">
      <c r="A1358" s="1" t="str">
        <f>"977  "</f>
        <v xml:space="preserve">977  </v>
      </c>
      <c r="B1358" s="1" t="s">
        <v>1741</v>
      </c>
      <c r="C1358" s="1" t="str">
        <f>"26359                                             "</f>
        <v xml:space="preserve">26359                                             </v>
      </c>
      <c r="D1358" s="1" t="s">
        <v>2195</v>
      </c>
      <c r="E1358" s="1" t="s">
        <v>2196</v>
      </c>
      <c r="F1358" s="1" t="str">
        <f>"89126    "</f>
        <v xml:space="preserve">89126    </v>
      </c>
      <c r="G1358" s="1" t="str">
        <f>"8004265980"</f>
        <v>8004265980</v>
      </c>
      <c r="H1358" s="1" t="s">
        <v>2240</v>
      </c>
    </row>
  </sheetData>
  <printOptions horizontalCentered="1" verticalCentered="1" gridLines="1"/>
  <pageMargins left="0" right="0" top="1" bottom="0.5" header="0" footer="0"/>
  <pageSetup orientation="landscape" r:id="rId1"/>
  <headerFooter>
    <oddHeader>&amp;CSC DEPARTMENT OF HEALTH AND HUMAN SERVICES
Office of Reporting, Research, and Special Projects
July 18, 2013
minick for defede</oddHeader>
    <oddFooter>&amp;L
Data is current through 6/2013&amp;C&amp;P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0"/>
  <sheetViews>
    <sheetView tabSelected="1" workbookViewId="0"/>
  </sheetViews>
  <sheetFormatPr defaultRowHeight="12" x14ac:dyDescent="0.25"/>
  <cols>
    <col min="1" max="1" width="13.44140625" style="1" customWidth="1"/>
    <col min="2" max="2" width="40" style="1" customWidth="1"/>
    <col min="3" max="3" width="33.109375" style="1" customWidth="1"/>
    <col min="4" max="4" width="22.21875" style="1" customWidth="1"/>
    <col min="5" max="5" width="8.88671875" style="1"/>
    <col min="6" max="6" width="10" style="1" bestFit="1" customWidth="1"/>
    <col min="7" max="7" width="11" style="1" bestFit="1" customWidth="1"/>
    <col min="8" max="8" width="144.44140625" style="1" bestFit="1" customWidth="1"/>
    <col min="9" max="16384" width="8.88671875" style="1"/>
  </cols>
  <sheetData>
    <row r="1" spans="1:8" ht="24" x14ac:dyDescent="0.25">
      <c r="A1" s="2" t="s">
        <v>78</v>
      </c>
      <c r="B1" s="2" t="s">
        <v>79</v>
      </c>
      <c r="C1" s="2" t="s">
        <v>80</v>
      </c>
      <c r="D1" s="2" t="s">
        <v>81</v>
      </c>
      <c r="E1" s="2" t="s">
        <v>82</v>
      </c>
      <c r="F1" s="2" t="s">
        <v>83</v>
      </c>
      <c r="G1" s="2" t="s">
        <v>84</v>
      </c>
      <c r="H1" s="3" t="s">
        <v>85</v>
      </c>
    </row>
    <row r="2" spans="1:8" x14ac:dyDescent="0.25">
      <c r="A2" s="1" t="str">
        <f>"100  "</f>
        <v xml:space="preserve">100  </v>
      </c>
      <c r="B2" s="1" t="s">
        <v>1337</v>
      </c>
      <c r="C2" s="1" t="s">
        <v>3281</v>
      </c>
      <c r="D2" s="1" t="s">
        <v>2794</v>
      </c>
      <c r="E2" s="1" t="s">
        <v>2744</v>
      </c>
      <c r="F2" s="1" t="str">
        <f>"40512    "</f>
        <v xml:space="preserve">40512    </v>
      </c>
      <c r="G2" s="1" t="str">
        <f>"8003334432"</f>
        <v>8003334432</v>
      </c>
      <c r="H2" s="1" t="s">
        <v>2637</v>
      </c>
    </row>
    <row r="3" spans="1:8" x14ac:dyDescent="0.25">
      <c r="A3" s="1" t="str">
        <f>"101  "</f>
        <v xml:space="preserve">101  </v>
      </c>
      <c r="B3" s="1" t="s">
        <v>1935</v>
      </c>
      <c r="C3" s="1" t="str">
        <f>"27092 BURBANK ST                                  "</f>
        <v xml:space="preserve">27092 BURBANK ST                                  </v>
      </c>
      <c r="D3" s="1" t="s">
        <v>1936</v>
      </c>
      <c r="E3" s="1" t="s">
        <v>2663</v>
      </c>
      <c r="F3" s="1" t="str">
        <f>"92610    "</f>
        <v xml:space="preserve">92610    </v>
      </c>
      <c r="G3" s="1" t="str">
        <f>"8779167920"</f>
        <v>8779167920</v>
      </c>
      <c r="H3" s="1" t="s">
        <v>1937</v>
      </c>
    </row>
    <row r="4" spans="1:8" x14ac:dyDescent="0.25">
      <c r="A4" s="1" t="str">
        <f>"102  "</f>
        <v xml:space="preserve">102  </v>
      </c>
      <c r="B4" s="1" t="s">
        <v>2637</v>
      </c>
      <c r="C4" s="1" t="s">
        <v>2637</v>
      </c>
      <c r="D4" s="1" t="s">
        <v>2637</v>
      </c>
      <c r="E4" s="1" t="s">
        <v>2637</v>
      </c>
      <c r="F4" s="1" t="s">
        <v>2637</v>
      </c>
      <c r="G4" s="1" t="s">
        <v>2637</v>
      </c>
      <c r="H4" s="1" t="s">
        <v>2637</v>
      </c>
    </row>
    <row r="5" spans="1:8" x14ac:dyDescent="0.25">
      <c r="A5" s="1" t="str">
        <f>"103  "</f>
        <v xml:space="preserve">103  </v>
      </c>
      <c r="B5" s="1" t="s">
        <v>996</v>
      </c>
      <c r="C5" s="1" t="str">
        <f>"10835 N. 25TH AVE. 105                            "</f>
        <v xml:space="preserve">10835 N. 25TH AVE. 105                            </v>
      </c>
      <c r="D5" s="1" t="s">
        <v>2808</v>
      </c>
      <c r="E5" s="1" t="s">
        <v>2809</v>
      </c>
      <c r="F5" s="1" t="str">
        <f>"85029    "</f>
        <v xml:space="preserve">85029    </v>
      </c>
      <c r="G5" s="1" t="str">
        <f>"8667448482"</f>
        <v>8667448482</v>
      </c>
      <c r="H5" s="1" t="s">
        <v>2688</v>
      </c>
    </row>
    <row r="6" spans="1:8" x14ac:dyDescent="0.25">
      <c r="A6" s="1" t="str">
        <f>"104  "</f>
        <v xml:space="preserve">104  </v>
      </c>
      <c r="B6" s="1" t="s">
        <v>3022</v>
      </c>
      <c r="C6" s="1" t="s">
        <v>3023</v>
      </c>
      <c r="D6" s="1" t="s">
        <v>3024</v>
      </c>
      <c r="E6" s="1" t="s">
        <v>2663</v>
      </c>
      <c r="F6" s="1" t="str">
        <f>"90242    "</f>
        <v xml:space="preserve">90242    </v>
      </c>
      <c r="G6" s="1" t="str">
        <f>"8003903510"</f>
        <v>8003903510</v>
      </c>
      <c r="H6" s="1" t="s">
        <v>2688</v>
      </c>
    </row>
    <row r="7" spans="1:8" x14ac:dyDescent="0.25">
      <c r="A7" s="1" t="str">
        <f>"105  "</f>
        <v xml:space="preserve">105  </v>
      </c>
      <c r="B7" s="1" t="s">
        <v>226</v>
      </c>
      <c r="C7" s="1" t="s">
        <v>227</v>
      </c>
      <c r="D7" s="1" t="s">
        <v>2710</v>
      </c>
      <c r="E7" s="1" t="s">
        <v>2660</v>
      </c>
      <c r="F7" s="1" t="str">
        <f>"29602    "</f>
        <v xml:space="preserve">29602    </v>
      </c>
      <c r="G7" s="1" t="str">
        <f>"8646098111"</f>
        <v>8646098111</v>
      </c>
      <c r="H7" s="1" t="s">
        <v>2637</v>
      </c>
    </row>
    <row r="8" spans="1:8" x14ac:dyDescent="0.25">
      <c r="A8" s="1" t="str">
        <f>"106  "</f>
        <v xml:space="preserve">106  </v>
      </c>
      <c r="B8" s="1" t="s">
        <v>706</v>
      </c>
      <c r="C8" s="1" t="s">
        <v>707</v>
      </c>
      <c r="D8" s="1" t="s">
        <v>2884</v>
      </c>
      <c r="E8" s="1" t="s">
        <v>2885</v>
      </c>
      <c r="F8" s="1" t="str">
        <f>"731250160"</f>
        <v>731250160</v>
      </c>
      <c r="G8" s="1" t="str">
        <f>"8006548489"</f>
        <v>8006548489</v>
      </c>
      <c r="H8" s="1" t="s">
        <v>2637</v>
      </c>
    </row>
    <row r="9" spans="1:8" x14ac:dyDescent="0.25">
      <c r="A9" s="1" t="str">
        <f>"107  "</f>
        <v xml:space="preserve">107  </v>
      </c>
      <c r="B9" s="1" t="s">
        <v>2358</v>
      </c>
      <c r="C9" s="1" t="s">
        <v>2359</v>
      </c>
      <c r="D9" s="1" t="s">
        <v>2891</v>
      </c>
      <c r="E9" s="1" t="s">
        <v>2862</v>
      </c>
      <c r="F9" s="1" t="str">
        <f>"68175    "</f>
        <v xml:space="preserve">68175    </v>
      </c>
      <c r="G9" s="1" t="str">
        <f>"8002289090"</f>
        <v>8002289090</v>
      </c>
      <c r="H9" s="1" t="s">
        <v>2578</v>
      </c>
    </row>
    <row r="10" spans="1:8" x14ac:dyDescent="0.25">
      <c r="A10" s="1" t="str">
        <f>"108  "</f>
        <v xml:space="preserve">108  </v>
      </c>
      <c r="B10" s="1" t="s">
        <v>2079</v>
      </c>
      <c r="C10" s="1" t="s">
        <v>2080</v>
      </c>
      <c r="D10" s="1" t="s">
        <v>2854</v>
      </c>
      <c r="E10" s="1" t="s">
        <v>2636</v>
      </c>
      <c r="F10" s="1" t="str">
        <f>"79998    "</f>
        <v xml:space="preserve">79998    </v>
      </c>
      <c r="G10" s="1" t="str">
        <f>"8006386626"</f>
        <v>8006386626</v>
      </c>
      <c r="H10" s="1" t="s">
        <v>2637</v>
      </c>
    </row>
    <row r="11" spans="1:8" x14ac:dyDescent="0.25">
      <c r="A11" s="1" t="str">
        <f>"109  "</f>
        <v xml:space="preserve">109  </v>
      </c>
      <c r="B11" s="1" t="s">
        <v>481</v>
      </c>
      <c r="C11" s="1" t="s">
        <v>482</v>
      </c>
      <c r="D11" s="1" t="s">
        <v>2058</v>
      </c>
      <c r="E11" s="1" t="s">
        <v>2677</v>
      </c>
      <c r="F11" s="1" t="str">
        <f>"27420    "</f>
        <v xml:space="preserve">27420    </v>
      </c>
      <c r="G11" s="1" t="str">
        <f>"3366913000"</f>
        <v>3366913000</v>
      </c>
      <c r="H11" s="1" t="s">
        <v>2637</v>
      </c>
    </row>
    <row r="12" spans="1:8" x14ac:dyDescent="0.25">
      <c r="A12" s="1" t="str">
        <f>"110  "</f>
        <v xml:space="preserve">110  </v>
      </c>
      <c r="B12" s="1" t="s">
        <v>1660</v>
      </c>
      <c r="C12" s="1" t="s">
        <v>1661</v>
      </c>
      <c r="D12" s="1" t="s">
        <v>2752</v>
      </c>
      <c r="E12" s="1" t="s">
        <v>2697</v>
      </c>
      <c r="F12" s="1" t="str">
        <f>"191011574"</f>
        <v>191011574</v>
      </c>
      <c r="G12" s="1" t="str">
        <f>"8886323862"</f>
        <v>8886323862</v>
      </c>
      <c r="H12" s="1" t="s">
        <v>2688</v>
      </c>
    </row>
    <row r="13" spans="1:8" x14ac:dyDescent="0.25">
      <c r="A13" s="1" t="str">
        <f>"111  "</f>
        <v xml:space="preserve">111  </v>
      </c>
      <c r="B13" s="1" t="s">
        <v>317</v>
      </c>
      <c r="C13" s="1" t="str">
        <f>"841 PRUDENTIAL DRIVE                              "</f>
        <v xml:space="preserve">841 PRUDENTIAL DRIVE                              </v>
      </c>
      <c r="D13" s="1" t="s">
        <v>2834</v>
      </c>
      <c r="E13" s="1" t="s">
        <v>2832</v>
      </c>
      <c r="F13" s="1" t="str">
        <f>"32207    "</f>
        <v xml:space="preserve">32207    </v>
      </c>
      <c r="G13" s="1" t="str">
        <f>"8003463778"</f>
        <v>8003463778</v>
      </c>
      <c r="H13" s="1" t="s">
        <v>318</v>
      </c>
    </row>
    <row r="14" spans="1:8" x14ac:dyDescent="0.25">
      <c r="A14" s="1" t="str">
        <f>"112  "</f>
        <v xml:space="preserve">112  </v>
      </c>
      <c r="B14" s="1" t="s">
        <v>3150</v>
      </c>
      <c r="C14" s="1" t="s">
        <v>3151</v>
      </c>
      <c r="D14" s="1" t="s">
        <v>2906</v>
      </c>
      <c r="E14" s="1" t="s">
        <v>2677</v>
      </c>
      <c r="F14" s="1" t="str">
        <f>"282473500"</f>
        <v>282473500</v>
      </c>
      <c r="G14" s="1" t="str">
        <f>"7045443665"</f>
        <v>7045443665</v>
      </c>
      <c r="H14" s="1" t="s">
        <v>3152</v>
      </c>
    </row>
    <row r="15" spans="1:8" x14ac:dyDescent="0.25">
      <c r="A15" s="1" t="str">
        <f>"113  "</f>
        <v xml:space="preserve">113  </v>
      </c>
      <c r="B15" s="1" t="s">
        <v>1983</v>
      </c>
      <c r="C15" s="1" t="s">
        <v>1984</v>
      </c>
      <c r="D15" s="1" t="s">
        <v>2717</v>
      </c>
      <c r="E15" s="1" t="s">
        <v>2681</v>
      </c>
      <c r="F15" s="1" t="str">
        <f>"303740800"</f>
        <v>303740800</v>
      </c>
      <c r="G15" s="1" t="str">
        <f>"8778423210"</f>
        <v>8778423210</v>
      </c>
      <c r="H15" s="1" t="s">
        <v>2637</v>
      </c>
    </row>
    <row r="16" spans="1:8" x14ac:dyDescent="0.25">
      <c r="A16" s="1" t="str">
        <f>"114  "</f>
        <v xml:space="preserve">114  </v>
      </c>
      <c r="B16" s="1" t="s">
        <v>734</v>
      </c>
      <c r="C16" s="1" t="s">
        <v>735</v>
      </c>
      <c r="D16" s="1" t="s">
        <v>2685</v>
      </c>
      <c r="E16" s="1" t="s">
        <v>2670</v>
      </c>
      <c r="F16" s="1" t="str">
        <f>"64114    "</f>
        <v xml:space="preserve">64114    </v>
      </c>
      <c r="G16" s="1" t="str">
        <f>"8009224262"</f>
        <v>8009224262</v>
      </c>
      <c r="H16" s="1" t="s">
        <v>2688</v>
      </c>
    </row>
    <row r="17" spans="1:8" x14ac:dyDescent="0.25">
      <c r="A17" s="1" t="str">
        <f>"115  "</f>
        <v xml:space="preserve">115  </v>
      </c>
      <c r="B17" s="1" t="s">
        <v>2516</v>
      </c>
      <c r="C17" s="1" t="s">
        <v>2517</v>
      </c>
      <c r="D17" s="1" t="s">
        <v>2701</v>
      </c>
      <c r="E17" s="1" t="s">
        <v>2660</v>
      </c>
      <c r="F17" s="1" t="str">
        <f>"29202    "</f>
        <v xml:space="preserve">29202    </v>
      </c>
      <c r="G17" s="1" t="str">
        <f>"8003668997"</f>
        <v>8003668997</v>
      </c>
      <c r="H17" s="1" t="s">
        <v>2760</v>
      </c>
    </row>
    <row r="18" spans="1:8" x14ac:dyDescent="0.25">
      <c r="A18" s="1" t="str">
        <f>"116  "</f>
        <v xml:space="preserve">116  </v>
      </c>
      <c r="B18" s="1" t="s">
        <v>2584</v>
      </c>
      <c r="C18" s="1" t="s">
        <v>2585</v>
      </c>
      <c r="D18" s="1" t="s">
        <v>3157</v>
      </c>
      <c r="E18" s="1" t="s">
        <v>2970</v>
      </c>
      <c r="F18" s="1" t="str">
        <f>"372305154"</f>
        <v>372305154</v>
      </c>
      <c r="G18" s="1" t="str">
        <f>"8002558109"</f>
        <v>8002558109</v>
      </c>
      <c r="H18" s="1" t="s">
        <v>2637</v>
      </c>
    </row>
    <row r="19" spans="1:8" x14ac:dyDescent="0.25">
      <c r="A19" s="1" t="str">
        <f>"117  "</f>
        <v xml:space="preserve">117  </v>
      </c>
      <c r="B19" s="1" t="s">
        <v>2953</v>
      </c>
      <c r="C19" s="1" t="s">
        <v>2954</v>
      </c>
      <c r="D19" s="1" t="s">
        <v>2710</v>
      </c>
      <c r="E19" s="1" t="s">
        <v>2660</v>
      </c>
      <c r="F19" s="1" t="str">
        <f>"29606    "</f>
        <v xml:space="preserve">29606    </v>
      </c>
      <c r="G19" s="1" t="str">
        <f>"8642405840"</f>
        <v>8642405840</v>
      </c>
      <c r="H19" s="1" t="s">
        <v>2637</v>
      </c>
    </row>
    <row r="20" spans="1:8" x14ac:dyDescent="0.25">
      <c r="A20" s="1" t="str">
        <f>"118  "</f>
        <v xml:space="preserve">118  </v>
      </c>
      <c r="B20" s="1" t="s">
        <v>3139</v>
      </c>
      <c r="C20" s="1" t="str">
        <f>"300 ST. PAUL PLACE                                "</f>
        <v xml:space="preserve">300 ST. PAUL PLACE                                </v>
      </c>
      <c r="D20" s="1" t="s">
        <v>2652</v>
      </c>
      <c r="E20" s="1" t="s">
        <v>2647</v>
      </c>
      <c r="F20" s="1" t="str">
        <f>"21202    "</f>
        <v xml:space="preserve">21202    </v>
      </c>
      <c r="G20" s="1" t="str">
        <f>"3013323000"</f>
        <v>3013323000</v>
      </c>
      <c r="H20" s="1" t="s">
        <v>2637</v>
      </c>
    </row>
    <row r="21" spans="1:8" x14ac:dyDescent="0.25">
      <c r="A21" s="1" t="str">
        <f>"119  "</f>
        <v xml:space="preserve">119  </v>
      </c>
      <c r="B21" s="1" t="s">
        <v>903</v>
      </c>
      <c r="C21" s="1" t="str">
        <f>"1776 AMERICAN HERITAGE LIFE DRIVE                 "</f>
        <v xml:space="preserve">1776 AMERICAN HERITAGE LIFE DRIVE                 </v>
      </c>
      <c r="D21" s="1" t="s">
        <v>2834</v>
      </c>
      <c r="E21" s="1" t="s">
        <v>2832</v>
      </c>
      <c r="F21" s="1" t="str">
        <f>"32224    "</f>
        <v xml:space="preserve">32224    </v>
      </c>
      <c r="G21" s="1" t="str">
        <f>"8005358086"</f>
        <v>8005358086</v>
      </c>
      <c r="H21" s="1" t="s">
        <v>2637</v>
      </c>
    </row>
    <row r="22" spans="1:8" x14ac:dyDescent="0.25">
      <c r="A22" s="1" t="str">
        <f>"120  "</f>
        <v xml:space="preserve">120  </v>
      </c>
      <c r="B22" s="1" t="s">
        <v>2005</v>
      </c>
      <c r="C22" s="1" t="s">
        <v>2006</v>
      </c>
      <c r="D22" s="1" t="s">
        <v>2007</v>
      </c>
      <c r="E22" s="1" t="s">
        <v>2636</v>
      </c>
      <c r="F22" s="1" t="str">
        <f>"77553    "</f>
        <v xml:space="preserve">77553    </v>
      </c>
      <c r="G22" s="1" t="str">
        <f>"8008996803"</f>
        <v>8008996803</v>
      </c>
      <c r="H22" s="1" t="s">
        <v>2637</v>
      </c>
    </row>
    <row r="23" spans="1:8" x14ac:dyDescent="0.25">
      <c r="A23" s="1" t="str">
        <f>"121  "</f>
        <v xml:space="preserve">121  </v>
      </c>
      <c r="B23" s="1" t="s">
        <v>1143</v>
      </c>
      <c r="C23" s="1" t="s">
        <v>1144</v>
      </c>
      <c r="D23" s="1" t="s">
        <v>1621</v>
      </c>
      <c r="E23" s="1" t="s">
        <v>2677</v>
      </c>
      <c r="F23" s="1" t="str">
        <f>"28110    "</f>
        <v xml:space="preserve">28110    </v>
      </c>
      <c r="G23" s="1" t="str">
        <f>"7042258887"</f>
        <v>7042258887</v>
      </c>
      <c r="H23" s="1" t="s">
        <v>2637</v>
      </c>
    </row>
    <row r="24" spans="1:8" x14ac:dyDescent="0.25">
      <c r="A24" s="1" t="str">
        <f>"122  "</f>
        <v xml:space="preserve">122  </v>
      </c>
      <c r="B24" s="1" t="s">
        <v>1692</v>
      </c>
      <c r="C24" s="1" t="s">
        <v>1693</v>
      </c>
      <c r="D24" s="1" t="s">
        <v>3013</v>
      </c>
      <c r="E24" s="1" t="s">
        <v>2660</v>
      </c>
      <c r="F24" s="1" t="str">
        <f>"294130010"</f>
        <v>294130010</v>
      </c>
      <c r="G24" s="1" t="str">
        <f>"8437638680"</f>
        <v>8437638680</v>
      </c>
      <c r="H24" s="1" t="s">
        <v>2637</v>
      </c>
    </row>
    <row r="25" spans="1:8" x14ac:dyDescent="0.25">
      <c r="A25" s="1" t="str">
        <f>"123  "</f>
        <v xml:space="preserve">123  </v>
      </c>
      <c r="B25" s="1" t="s">
        <v>23</v>
      </c>
      <c r="C25" s="1" t="s">
        <v>24</v>
      </c>
      <c r="D25" s="1" t="s">
        <v>2154</v>
      </c>
      <c r="E25" s="1" t="s">
        <v>2786</v>
      </c>
      <c r="F25" s="1" t="str">
        <f>"606660927"</f>
        <v>606660927</v>
      </c>
      <c r="G25" s="1" t="str">
        <f>"8006213724"</f>
        <v>8006213724</v>
      </c>
      <c r="H25" s="1" t="s">
        <v>2637</v>
      </c>
    </row>
    <row r="26" spans="1:8" x14ac:dyDescent="0.25">
      <c r="A26" s="1" t="str">
        <f>"124  "</f>
        <v xml:space="preserve">124  </v>
      </c>
      <c r="B26" s="1" t="s">
        <v>153</v>
      </c>
      <c r="C26" s="1" t="s">
        <v>154</v>
      </c>
      <c r="D26" s="1" t="s">
        <v>2923</v>
      </c>
      <c r="E26" s="1" t="s">
        <v>2714</v>
      </c>
      <c r="F26" s="1" t="str">
        <f>"43215    "</f>
        <v xml:space="preserve">43215    </v>
      </c>
      <c r="G26" s="1" t="str">
        <f>"8008480123"</f>
        <v>8008480123</v>
      </c>
      <c r="H26" s="1" t="s">
        <v>2637</v>
      </c>
    </row>
    <row r="27" spans="1:8" x14ac:dyDescent="0.25">
      <c r="A27" s="1" t="str">
        <f>"125  "</f>
        <v xml:space="preserve">125  </v>
      </c>
      <c r="B27" s="1" t="s">
        <v>1404</v>
      </c>
      <c r="C27" s="1" t="str">
        <f>"3220 TILLMAN DRIVE                                "</f>
        <v xml:space="preserve">3220 TILLMAN DRIVE                                </v>
      </c>
      <c r="D27" s="1" t="s">
        <v>1405</v>
      </c>
      <c r="E27" s="1" t="s">
        <v>2697</v>
      </c>
      <c r="F27" s="1" t="str">
        <f>"19020    "</f>
        <v xml:space="preserve">19020    </v>
      </c>
      <c r="G27" s="1" t="str">
        <f>"2152441600"</f>
        <v>2152441600</v>
      </c>
      <c r="H27" s="1" t="s">
        <v>2637</v>
      </c>
    </row>
    <row r="28" spans="1:8" x14ac:dyDescent="0.25">
      <c r="A28" s="1" t="str">
        <f>"126  "</f>
        <v xml:space="preserve">126  </v>
      </c>
      <c r="B28" s="1" t="s">
        <v>3125</v>
      </c>
      <c r="C28" s="1" t="s">
        <v>3126</v>
      </c>
      <c r="D28" s="1" t="s">
        <v>2977</v>
      </c>
      <c r="E28" s="1" t="s">
        <v>2858</v>
      </c>
      <c r="F28" s="1" t="str">
        <f>"98124    "</f>
        <v xml:space="preserve">98124    </v>
      </c>
      <c r="G28" s="1" t="str">
        <f>"8008610056"</f>
        <v>8008610056</v>
      </c>
      <c r="H28" s="1" t="s">
        <v>2688</v>
      </c>
    </row>
    <row r="29" spans="1:8" x14ac:dyDescent="0.25">
      <c r="A29" s="1" t="str">
        <f>"127  "</f>
        <v xml:space="preserve">127  </v>
      </c>
      <c r="B29" s="1" t="s">
        <v>1619</v>
      </c>
      <c r="C29" s="1" t="s">
        <v>1620</v>
      </c>
      <c r="D29" s="1" t="s">
        <v>1621</v>
      </c>
      <c r="E29" s="1" t="s">
        <v>2644</v>
      </c>
      <c r="F29" s="1" t="str">
        <f>"48161    "</f>
        <v xml:space="preserve">48161    </v>
      </c>
      <c r="G29" s="1" t="str">
        <f>"8004231028"</f>
        <v>8004231028</v>
      </c>
      <c r="H29" s="1" t="s">
        <v>2688</v>
      </c>
    </row>
    <row r="30" spans="1:8" x14ac:dyDescent="0.25">
      <c r="A30" s="1" t="str">
        <f>"128  "</f>
        <v xml:space="preserve">128  </v>
      </c>
      <c r="B30" s="1" t="s">
        <v>1974</v>
      </c>
      <c r="C30" s="1" t="s">
        <v>1975</v>
      </c>
      <c r="D30" s="1" t="s">
        <v>2825</v>
      </c>
      <c r="E30" s="1" t="s">
        <v>2826</v>
      </c>
      <c r="F30" s="1" t="str">
        <f>"80201    "</f>
        <v xml:space="preserve">80201    </v>
      </c>
      <c r="G30" s="1" t="str">
        <f>"8005252115"</f>
        <v>8005252115</v>
      </c>
      <c r="H30" s="1" t="s">
        <v>1976</v>
      </c>
    </row>
    <row r="31" spans="1:8" x14ac:dyDescent="0.25">
      <c r="A31" s="1" t="str">
        <f>"129  "</f>
        <v xml:space="preserve">129  </v>
      </c>
      <c r="B31" s="1" t="s">
        <v>381</v>
      </c>
      <c r="C31" s="1" t="str">
        <f>"101 LINDENWOOD DR, STE 150                        "</f>
        <v xml:space="preserve">101 LINDENWOOD DR, STE 150                        </v>
      </c>
      <c r="D31" s="1" t="s">
        <v>382</v>
      </c>
      <c r="E31" s="1" t="s">
        <v>2697</v>
      </c>
      <c r="F31" s="1" t="str">
        <f>"19355    "</f>
        <v xml:space="preserve">19355    </v>
      </c>
      <c r="G31" s="1" t="str">
        <f>"8005379389"</f>
        <v>8005379389</v>
      </c>
      <c r="H31" s="1" t="s">
        <v>2637</v>
      </c>
    </row>
    <row r="32" spans="1:8" x14ac:dyDescent="0.25">
      <c r="A32" s="1" t="str">
        <f>"130  "</f>
        <v xml:space="preserve">130  </v>
      </c>
      <c r="B32" s="1" t="s">
        <v>1290</v>
      </c>
      <c r="C32" s="1" t="s">
        <v>820</v>
      </c>
      <c r="D32" s="1" t="s">
        <v>2616</v>
      </c>
      <c r="E32" s="1" t="s">
        <v>2660</v>
      </c>
      <c r="F32" s="1" t="str">
        <f>"29304    "</f>
        <v xml:space="preserve">29304    </v>
      </c>
      <c r="G32" s="1" t="str">
        <f>"8889628437"</f>
        <v>8889628437</v>
      </c>
      <c r="H32" s="1" t="s">
        <v>1291</v>
      </c>
    </row>
    <row r="33" spans="1:8" x14ac:dyDescent="0.25">
      <c r="A33" s="1" t="str">
        <f>"131  "</f>
        <v xml:space="preserve">131  </v>
      </c>
      <c r="B33" s="1" t="s">
        <v>2678</v>
      </c>
      <c r="C33" s="1" t="s">
        <v>2679</v>
      </c>
      <c r="D33" s="1" t="s">
        <v>2680</v>
      </c>
      <c r="E33" s="1" t="s">
        <v>2681</v>
      </c>
      <c r="F33" s="1" t="str">
        <f>"31412    "</f>
        <v xml:space="preserve">31412    </v>
      </c>
      <c r="G33" s="1" t="str">
        <f>"9126911551"</f>
        <v>9126911551</v>
      </c>
      <c r="H33" s="1" t="s">
        <v>2682</v>
      </c>
    </row>
    <row r="34" spans="1:8" x14ac:dyDescent="0.25">
      <c r="A34" s="1" t="str">
        <f>"132  "</f>
        <v xml:space="preserve">132  </v>
      </c>
      <c r="B34" s="1" t="s">
        <v>911</v>
      </c>
      <c r="C34" s="1" t="s">
        <v>912</v>
      </c>
      <c r="D34" s="1" t="s">
        <v>2701</v>
      </c>
      <c r="E34" s="1" t="s">
        <v>2660</v>
      </c>
      <c r="F34" s="1" t="str">
        <f>"29202    "</f>
        <v xml:space="preserve">29202    </v>
      </c>
      <c r="G34" s="1" t="str">
        <f>"8037987000"</f>
        <v>8037987000</v>
      </c>
      <c r="H34" s="1" t="s">
        <v>2637</v>
      </c>
    </row>
    <row r="35" spans="1:8" x14ac:dyDescent="0.25">
      <c r="A35" s="1" t="str">
        <f>"133  "</f>
        <v xml:space="preserve">133  </v>
      </c>
      <c r="B35" s="1" t="s">
        <v>997</v>
      </c>
      <c r="C35" s="1" t="str">
        <f>"5050 BROADWAY                                     "</f>
        <v xml:space="preserve">5050 BROADWAY                                     </v>
      </c>
      <c r="D35" s="1" t="s">
        <v>2154</v>
      </c>
      <c r="E35" s="1" t="s">
        <v>2786</v>
      </c>
      <c r="F35" s="1" t="str">
        <f>"60640    "</f>
        <v xml:space="preserve">60640    </v>
      </c>
      <c r="G35" s="1" t="str">
        <f>"8002254500"</f>
        <v>8002254500</v>
      </c>
      <c r="H35" s="1" t="s">
        <v>2637</v>
      </c>
    </row>
    <row r="36" spans="1:8" x14ac:dyDescent="0.25">
      <c r="A36" s="1" t="str">
        <f>"134  "</f>
        <v xml:space="preserve">134  </v>
      </c>
      <c r="B36" s="1" t="s">
        <v>2374</v>
      </c>
      <c r="C36" s="1" t="s">
        <v>1967</v>
      </c>
      <c r="D36" s="1" t="s">
        <v>3045</v>
      </c>
      <c r="E36" s="1" t="s">
        <v>2970</v>
      </c>
      <c r="F36" s="1" t="str">
        <f>"374227223"</f>
        <v>374227223</v>
      </c>
      <c r="G36" s="1" t="str">
        <f>"8008824462"</f>
        <v>8008824462</v>
      </c>
      <c r="H36" s="1" t="s">
        <v>2376</v>
      </c>
    </row>
    <row r="37" spans="1:8" x14ac:dyDescent="0.25">
      <c r="A37" s="1" t="str">
        <f>"135  "</f>
        <v xml:space="preserve">135  </v>
      </c>
      <c r="B37" s="1" t="s">
        <v>826</v>
      </c>
      <c r="C37" s="1" t="s">
        <v>827</v>
      </c>
      <c r="D37" s="1" t="s">
        <v>2685</v>
      </c>
      <c r="E37" s="1" t="s">
        <v>2670</v>
      </c>
      <c r="F37" s="1" t="str">
        <f>"641416233"</f>
        <v>641416233</v>
      </c>
      <c r="G37" s="1" t="str">
        <f>"8008257531"</f>
        <v>8008257531</v>
      </c>
      <c r="H37" s="1" t="s">
        <v>828</v>
      </c>
    </row>
    <row r="38" spans="1:8" x14ac:dyDescent="0.25">
      <c r="A38" s="1" t="str">
        <f>"136  "</f>
        <v xml:space="preserve">136  </v>
      </c>
      <c r="B38" s="1" t="s">
        <v>1864</v>
      </c>
      <c r="C38" s="1" t="s">
        <v>1865</v>
      </c>
      <c r="D38" s="1" t="s">
        <v>2906</v>
      </c>
      <c r="E38" s="1" t="s">
        <v>2677</v>
      </c>
      <c r="F38" s="1" t="str">
        <f>"282303211"</f>
        <v>282303211</v>
      </c>
      <c r="G38" s="1" t="s">
        <v>2637</v>
      </c>
      <c r="H38" s="1" t="s">
        <v>2688</v>
      </c>
    </row>
    <row r="39" spans="1:8" x14ac:dyDescent="0.25">
      <c r="A39" s="1" t="str">
        <f>"137  "</f>
        <v xml:space="preserve">137  </v>
      </c>
      <c r="B39" s="1" t="s">
        <v>807</v>
      </c>
      <c r="C39" s="1" t="s">
        <v>808</v>
      </c>
      <c r="D39" s="1" t="s">
        <v>2696</v>
      </c>
      <c r="E39" s="1" t="s">
        <v>2697</v>
      </c>
      <c r="F39" s="1" t="str">
        <f>"17601    "</f>
        <v xml:space="preserve">17601    </v>
      </c>
      <c r="G39" s="1" t="str">
        <f>"7173972751"</f>
        <v>7173972751</v>
      </c>
      <c r="H39" s="1" t="s">
        <v>2637</v>
      </c>
    </row>
    <row r="40" spans="1:8" x14ac:dyDescent="0.25">
      <c r="A40" s="1" t="str">
        <f>"138  "</f>
        <v xml:space="preserve">138  </v>
      </c>
      <c r="B40" s="1" t="s">
        <v>1943</v>
      </c>
      <c r="C40" s="1" t="s">
        <v>1944</v>
      </c>
      <c r="D40" s="1" t="s">
        <v>3263</v>
      </c>
      <c r="E40" s="1" t="s">
        <v>3264</v>
      </c>
      <c r="F40" s="1" t="str">
        <f>"527332920"</f>
        <v>527332920</v>
      </c>
      <c r="G40" s="1" t="str">
        <f>"8775433935"</f>
        <v>8775433935</v>
      </c>
      <c r="H40" s="1" t="s">
        <v>2637</v>
      </c>
    </row>
    <row r="41" spans="1:8" x14ac:dyDescent="0.25">
      <c r="A41" s="1" t="str">
        <f>"139  "</f>
        <v xml:space="preserve">139  </v>
      </c>
      <c r="B41" s="1" t="s">
        <v>894</v>
      </c>
      <c r="C41" s="1" t="s">
        <v>2378</v>
      </c>
      <c r="D41" s="1" t="s">
        <v>2379</v>
      </c>
      <c r="E41" s="1" t="s">
        <v>2667</v>
      </c>
      <c r="F41" s="1" t="str">
        <f>"544028013"</f>
        <v>544028013</v>
      </c>
      <c r="G41" s="1" t="str">
        <f>"8008269781"</f>
        <v>8008269781</v>
      </c>
      <c r="H41" s="1" t="s">
        <v>1720</v>
      </c>
    </row>
    <row r="42" spans="1:8" x14ac:dyDescent="0.25">
      <c r="A42" s="1" t="str">
        <f>"140  "</f>
        <v xml:space="preserve">140  </v>
      </c>
      <c r="B42" s="1" t="s">
        <v>115</v>
      </c>
      <c r="C42" s="1" t="s">
        <v>2856</v>
      </c>
      <c r="D42" s="1" t="s">
        <v>2857</v>
      </c>
      <c r="E42" s="1" t="s">
        <v>2858</v>
      </c>
      <c r="F42" s="1" t="str">
        <f>"982270010"</f>
        <v>982270010</v>
      </c>
      <c r="G42" s="1" t="s">
        <v>2637</v>
      </c>
      <c r="H42" s="1" t="s">
        <v>2795</v>
      </c>
    </row>
    <row r="43" spans="1:8" x14ac:dyDescent="0.25">
      <c r="A43" s="1" t="str">
        <f>"141  "</f>
        <v xml:space="preserve">141  </v>
      </c>
      <c r="B43" s="1" t="s">
        <v>825</v>
      </c>
      <c r="C43" s="1" t="str">
        <f>"428 E SCOTT AVENUE - P O BOX 3070                 "</f>
        <v xml:space="preserve">428 E SCOTT AVENUE - P O BOX 3070                 </v>
      </c>
      <c r="D43" s="1" t="s">
        <v>2969</v>
      </c>
      <c r="E43" s="1" t="s">
        <v>2970</v>
      </c>
      <c r="F43" s="1" t="str">
        <f>"37927    "</f>
        <v xml:space="preserve">37927    </v>
      </c>
      <c r="G43" s="1" t="str">
        <f>"         -"</f>
        <v xml:space="preserve">         -</v>
      </c>
      <c r="H43" s="1" t="s">
        <v>2637</v>
      </c>
    </row>
    <row r="44" spans="1:8" x14ac:dyDescent="0.25">
      <c r="A44" s="1" t="str">
        <f>"142  "</f>
        <v xml:space="preserve">142  </v>
      </c>
      <c r="B44" s="1" t="s">
        <v>2340</v>
      </c>
      <c r="C44" s="1" t="s">
        <v>2341</v>
      </c>
      <c r="D44" s="1" t="s">
        <v>2701</v>
      </c>
      <c r="E44" s="1" t="s">
        <v>2660</v>
      </c>
      <c r="F44" s="1" t="str">
        <f>"29240    "</f>
        <v xml:space="preserve">29240    </v>
      </c>
      <c r="G44" s="1" t="str">
        <f>"8038989795"</f>
        <v>8038989795</v>
      </c>
      <c r="H44" s="1" t="s">
        <v>2688</v>
      </c>
    </row>
    <row r="45" spans="1:8" x14ac:dyDescent="0.25">
      <c r="A45" s="1" t="str">
        <f>"143  "</f>
        <v xml:space="preserve">143  </v>
      </c>
      <c r="B45" s="1" t="s">
        <v>3025</v>
      </c>
      <c r="C45" s="1" t="s">
        <v>3026</v>
      </c>
      <c r="D45" s="1" t="s">
        <v>2673</v>
      </c>
      <c r="E45" s="1" t="s">
        <v>2674</v>
      </c>
      <c r="F45" s="1" t="str">
        <f>"841300541"</f>
        <v>841300541</v>
      </c>
      <c r="G45" s="1" t="str">
        <f>"8008269781"</f>
        <v>8008269781</v>
      </c>
      <c r="H45" s="1" t="s">
        <v>2637</v>
      </c>
    </row>
    <row r="46" spans="1:8" x14ac:dyDescent="0.25">
      <c r="A46" s="1" t="str">
        <f>"144  "</f>
        <v xml:space="preserve">144  </v>
      </c>
      <c r="B46" s="1" t="s">
        <v>228</v>
      </c>
      <c r="C46" s="1" t="str">
        <f>"204 N. ROBINSON                                   "</f>
        <v xml:space="preserve">204 N. ROBINSON                                   </v>
      </c>
      <c r="D46" s="1" t="s">
        <v>2884</v>
      </c>
      <c r="E46" s="1" t="s">
        <v>2885</v>
      </c>
      <c r="F46" s="1" t="str">
        <f>"73102    "</f>
        <v xml:space="preserve">73102    </v>
      </c>
      <c r="G46" s="1" t="str">
        <f>"4052701400"</f>
        <v>4052701400</v>
      </c>
      <c r="H46" s="1" t="s">
        <v>2637</v>
      </c>
    </row>
    <row r="47" spans="1:8" x14ac:dyDescent="0.25">
      <c r="A47" s="1" t="str">
        <f>"145  "</f>
        <v xml:space="preserve">145  </v>
      </c>
      <c r="B47" s="1" t="s">
        <v>963</v>
      </c>
      <c r="C47" s="1" t="str">
        <f>"5245 BIG PINE WAY SE                              "</f>
        <v xml:space="preserve">5245 BIG PINE WAY SE                              </v>
      </c>
      <c r="D47" s="1" t="s">
        <v>2587</v>
      </c>
      <c r="E47" s="1" t="s">
        <v>2832</v>
      </c>
      <c r="F47" s="1" t="str">
        <f>"33907    "</f>
        <v xml:space="preserve">33907    </v>
      </c>
      <c r="G47" s="1" t="str">
        <f>"9419366242"</f>
        <v>9419366242</v>
      </c>
      <c r="H47" s="1" t="s">
        <v>2637</v>
      </c>
    </row>
    <row r="48" spans="1:8" x14ac:dyDescent="0.25">
      <c r="A48" s="1" t="str">
        <f>"146  "</f>
        <v xml:space="preserve">146  </v>
      </c>
      <c r="B48" s="1" t="s">
        <v>1367</v>
      </c>
      <c r="C48" s="1" t="s">
        <v>1368</v>
      </c>
      <c r="D48" s="1" t="s">
        <v>2906</v>
      </c>
      <c r="E48" s="1" t="s">
        <v>2677</v>
      </c>
      <c r="F48" s="1" t="str">
        <f>"28212    "</f>
        <v xml:space="preserve">28212    </v>
      </c>
      <c r="G48" s="1" t="str">
        <f>"7045366230"</f>
        <v>7045366230</v>
      </c>
      <c r="H48" s="1" t="s">
        <v>2637</v>
      </c>
    </row>
    <row r="49" spans="1:8" x14ac:dyDescent="0.25">
      <c r="A49" s="1" t="str">
        <f>"147  "</f>
        <v xml:space="preserve">147  </v>
      </c>
      <c r="B49" s="1" t="s">
        <v>2247</v>
      </c>
      <c r="C49" s="1" t="s">
        <v>2248</v>
      </c>
      <c r="D49" s="1" t="s">
        <v>3074</v>
      </c>
      <c r="E49" s="1" t="s">
        <v>2832</v>
      </c>
      <c r="F49" s="1" t="str">
        <f>"337578811"</f>
        <v>337578811</v>
      </c>
      <c r="G49" s="1" t="str">
        <f>"8887806388"</f>
        <v>8887806388</v>
      </c>
      <c r="H49" s="1" t="s">
        <v>2637</v>
      </c>
    </row>
    <row r="50" spans="1:8" x14ac:dyDescent="0.25">
      <c r="A50" s="1" t="str">
        <f>"148  "</f>
        <v xml:space="preserve">148  </v>
      </c>
      <c r="B50" s="1" t="s">
        <v>1067</v>
      </c>
      <c r="C50" s="1" t="s">
        <v>1068</v>
      </c>
      <c r="D50" s="1" t="s">
        <v>2676</v>
      </c>
      <c r="E50" s="1" t="s">
        <v>2677</v>
      </c>
      <c r="F50" s="1" t="str">
        <f>"27702    "</f>
        <v xml:space="preserve">27702    </v>
      </c>
      <c r="G50" s="1" t="str">
        <f>"8004445431"</f>
        <v>8004445431</v>
      </c>
      <c r="H50" s="1" t="s">
        <v>2637</v>
      </c>
    </row>
    <row r="51" spans="1:8" x14ac:dyDescent="0.25">
      <c r="A51" s="1" t="str">
        <f>"149  "</f>
        <v xml:space="preserve">149  </v>
      </c>
      <c r="B51" s="1" t="s">
        <v>440</v>
      </c>
      <c r="C51" s="1" t="str">
        <f>"195 BROADWAY 11TH FLOOR                           "</f>
        <v xml:space="preserve">195 BROADWAY 11TH FLOOR                           </v>
      </c>
      <c r="D51" s="1" t="s">
        <v>2772</v>
      </c>
      <c r="E51" s="1" t="s">
        <v>2773</v>
      </c>
      <c r="F51" s="1" t="str">
        <f>"100073100"</f>
        <v>100073100</v>
      </c>
      <c r="G51" s="1" t="str">
        <f>"2126184000"</f>
        <v>2126184000</v>
      </c>
      <c r="H51" s="1" t="s">
        <v>2637</v>
      </c>
    </row>
    <row r="52" spans="1:8" x14ac:dyDescent="0.25">
      <c r="A52" s="1" t="str">
        <f>"150  "</f>
        <v xml:space="preserve">150  </v>
      </c>
      <c r="B52" s="1" t="s">
        <v>1365</v>
      </c>
      <c r="C52" s="1" t="s">
        <v>1366</v>
      </c>
      <c r="D52" s="1" t="s">
        <v>3157</v>
      </c>
      <c r="E52" s="1" t="s">
        <v>2970</v>
      </c>
      <c r="F52" s="1" t="str">
        <f>"372021500"</f>
        <v>372021500</v>
      </c>
      <c r="G52" s="1" t="str">
        <f>"8008882452"</f>
        <v>8008882452</v>
      </c>
      <c r="H52" s="1" t="s">
        <v>2637</v>
      </c>
    </row>
    <row r="53" spans="1:8" x14ac:dyDescent="0.25">
      <c r="A53" s="1" t="str">
        <f>"151  "</f>
        <v xml:space="preserve">151  </v>
      </c>
      <c r="B53" s="1" t="s">
        <v>700</v>
      </c>
      <c r="C53" s="1" t="s">
        <v>458</v>
      </c>
      <c r="D53" s="1" t="s">
        <v>2791</v>
      </c>
      <c r="E53" s="1" t="s">
        <v>2744</v>
      </c>
      <c r="F53" s="1" t="str">
        <f>"40742    "</f>
        <v xml:space="preserve">40742    </v>
      </c>
      <c r="G53" s="1" t="str">
        <f>"8003482922"</f>
        <v>8003482922</v>
      </c>
      <c r="H53" s="1" t="s">
        <v>3195</v>
      </c>
    </row>
    <row r="54" spans="1:8" x14ac:dyDescent="0.25">
      <c r="A54" s="1" t="str">
        <f>"152  "</f>
        <v xml:space="preserve">152  </v>
      </c>
      <c r="B54" s="1" t="s">
        <v>2567</v>
      </c>
      <c r="C54" s="1" t="s">
        <v>2568</v>
      </c>
      <c r="D54" s="1" t="s">
        <v>2673</v>
      </c>
      <c r="E54" s="1" t="s">
        <v>2674</v>
      </c>
      <c r="F54" s="1" t="str">
        <f>"84130    "</f>
        <v xml:space="preserve">84130    </v>
      </c>
      <c r="G54" s="1" t="str">
        <f>"8004585512"</f>
        <v>8004585512</v>
      </c>
      <c r="H54" s="1" t="s">
        <v>1676</v>
      </c>
    </row>
    <row r="55" spans="1:8" x14ac:dyDescent="0.25">
      <c r="A55" s="1" t="str">
        <f>"153  "</f>
        <v xml:space="preserve">153  </v>
      </c>
      <c r="B55" s="1" t="s">
        <v>2849</v>
      </c>
      <c r="C55" s="1" t="s">
        <v>2850</v>
      </c>
      <c r="D55" s="1" t="s">
        <v>2696</v>
      </c>
      <c r="E55" s="1" t="s">
        <v>2660</v>
      </c>
      <c r="F55" s="1" t="str">
        <f>"29721    "</f>
        <v xml:space="preserve">29721    </v>
      </c>
      <c r="G55" s="1" t="str">
        <f>"8032862440"</f>
        <v>8032862440</v>
      </c>
      <c r="H55" s="1" t="s">
        <v>2637</v>
      </c>
    </row>
    <row r="56" spans="1:8" x14ac:dyDescent="0.25">
      <c r="A56" s="1" t="str">
        <f>"154  "</f>
        <v xml:space="preserve">154  </v>
      </c>
      <c r="B56" s="1" t="s">
        <v>804</v>
      </c>
      <c r="C56" s="1" t="s">
        <v>805</v>
      </c>
      <c r="D56" s="1" t="s">
        <v>806</v>
      </c>
      <c r="E56" s="1" t="s">
        <v>2663</v>
      </c>
      <c r="F56" s="1" t="str">
        <f>"926906080"</f>
        <v>926906080</v>
      </c>
      <c r="G56" s="1" t="str">
        <f>"8884114208"</f>
        <v>8884114208</v>
      </c>
      <c r="H56" s="1" t="s">
        <v>2688</v>
      </c>
    </row>
    <row r="57" spans="1:8" x14ac:dyDescent="0.25">
      <c r="A57" s="1" t="str">
        <f>"155  "</f>
        <v xml:space="preserve">155  </v>
      </c>
      <c r="B57" s="1" t="s">
        <v>2176</v>
      </c>
      <c r="C57" s="1" t="s">
        <v>2177</v>
      </c>
      <c r="D57" s="1" t="s">
        <v>2178</v>
      </c>
      <c r="E57" s="1" t="s">
        <v>2821</v>
      </c>
      <c r="F57" s="1" t="str">
        <f>"07054    "</f>
        <v xml:space="preserve">07054    </v>
      </c>
      <c r="G57" s="1" t="str">
        <f>"8663027332"</f>
        <v>8663027332</v>
      </c>
      <c r="H57" s="1" t="s">
        <v>2648</v>
      </c>
    </row>
    <row r="58" spans="1:8" x14ac:dyDescent="0.25">
      <c r="A58" s="1" t="str">
        <f>"156  "</f>
        <v xml:space="preserve">156  </v>
      </c>
      <c r="B58" s="1" t="s">
        <v>1674</v>
      </c>
      <c r="C58" s="1" t="s">
        <v>1675</v>
      </c>
      <c r="D58" s="1" t="s">
        <v>2717</v>
      </c>
      <c r="E58" s="1" t="s">
        <v>2681</v>
      </c>
      <c r="F58" s="1" t="str">
        <f>"303485006"</f>
        <v>303485006</v>
      </c>
      <c r="G58" s="1" t="str">
        <f>"7709805100"</f>
        <v>7709805100</v>
      </c>
      <c r="H58" s="1" t="s">
        <v>2637</v>
      </c>
    </row>
    <row r="59" spans="1:8" x14ac:dyDescent="0.25">
      <c r="A59" s="1" t="str">
        <f>"157  "</f>
        <v xml:space="preserve">157  </v>
      </c>
      <c r="B59" s="1" t="s">
        <v>1576</v>
      </c>
      <c r="C59" s="1" t="s">
        <v>1577</v>
      </c>
      <c r="D59" s="1" t="s">
        <v>1540</v>
      </c>
      <c r="E59" s="1" t="s">
        <v>3164</v>
      </c>
      <c r="F59" s="1" t="str">
        <f>"23230    "</f>
        <v xml:space="preserve">23230    </v>
      </c>
      <c r="G59" s="1" t="str">
        <f>"8042816000"</f>
        <v>8042816000</v>
      </c>
      <c r="H59" s="1" t="s">
        <v>2637</v>
      </c>
    </row>
    <row r="60" spans="1:8" x14ac:dyDescent="0.25">
      <c r="A60" s="1" t="str">
        <f>"158  "</f>
        <v xml:space="preserve">158  </v>
      </c>
      <c r="B60" s="1" t="s">
        <v>1069</v>
      </c>
      <c r="C60" s="1" t="s">
        <v>1070</v>
      </c>
      <c r="D60" s="1" t="s">
        <v>3257</v>
      </c>
      <c r="E60" s="1" t="s">
        <v>2832</v>
      </c>
      <c r="F60" s="1" t="str">
        <f>"32861    "</f>
        <v xml:space="preserve">32861    </v>
      </c>
      <c r="G60" s="1" t="str">
        <f>"8004232765"</f>
        <v>8004232765</v>
      </c>
      <c r="H60" s="1" t="s">
        <v>2637</v>
      </c>
    </row>
    <row r="61" spans="1:8" x14ac:dyDescent="0.25">
      <c r="A61" s="1" t="str">
        <f>"159  "</f>
        <v xml:space="preserve">159  </v>
      </c>
      <c r="B61" s="1" t="s">
        <v>1032</v>
      </c>
      <c r="C61" s="1" t="s">
        <v>1033</v>
      </c>
      <c r="D61" s="1" t="s">
        <v>1034</v>
      </c>
      <c r="E61" s="1" t="s">
        <v>2821</v>
      </c>
      <c r="F61" s="1" t="str">
        <f>"08110    "</f>
        <v xml:space="preserve">08110    </v>
      </c>
      <c r="G61" s="1" t="str">
        <f>"8002570625"</f>
        <v>8002570625</v>
      </c>
      <c r="H61" s="1" t="s">
        <v>2637</v>
      </c>
    </row>
    <row r="62" spans="1:8" x14ac:dyDescent="0.25">
      <c r="A62" s="1" t="str">
        <f>"160  "</f>
        <v xml:space="preserve">160  </v>
      </c>
      <c r="B62" s="1" t="s">
        <v>1616</v>
      </c>
      <c r="C62" s="1" t="s">
        <v>1617</v>
      </c>
      <c r="D62" s="1" t="s">
        <v>2154</v>
      </c>
      <c r="E62" s="1" t="s">
        <v>2786</v>
      </c>
      <c r="F62" s="1" t="str">
        <f>"606804458"</f>
        <v>606804458</v>
      </c>
      <c r="G62" s="1" t="str">
        <f>"8772179677"</f>
        <v>8772179677</v>
      </c>
      <c r="H62" s="1" t="s">
        <v>1618</v>
      </c>
    </row>
    <row r="63" spans="1:8" x14ac:dyDescent="0.25">
      <c r="A63" s="1" t="str">
        <f>"161  "</f>
        <v xml:space="preserve">161  </v>
      </c>
      <c r="B63" s="1" t="s">
        <v>374</v>
      </c>
      <c r="C63" s="1" t="str">
        <f>"200 N. LASALLE ST. SUITE 400                      "</f>
        <v xml:space="preserve">200 N. LASALLE ST. SUITE 400                      </v>
      </c>
      <c r="D63" s="1" t="s">
        <v>2154</v>
      </c>
      <c r="E63" s="1" t="s">
        <v>2786</v>
      </c>
      <c r="F63" s="1" t="str">
        <f>"606819785"</f>
        <v>606819785</v>
      </c>
      <c r="G63" s="1" t="str">
        <f>"8004585736"</f>
        <v>8004585736</v>
      </c>
      <c r="H63" s="1" t="s">
        <v>3218</v>
      </c>
    </row>
    <row r="64" spans="1:8" x14ac:dyDescent="0.25">
      <c r="A64" s="1" t="str">
        <f>"162  "</f>
        <v xml:space="preserve">162  </v>
      </c>
      <c r="B64" s="1" t="s">
        <v>166</v>
      </c>
      <c r="C64" s="1" t="s">
        <v>167</v>
      </c>
      <c r="D64" s="1" t="s">
        <v>2985</v>
      </c>
      <c r="E64" s="1" t="s">
        <v>2636</v>
      </c>
      <c r="F64" s="1" t="str">
        <f>"82655    "</f>
        <v xml:space="preserve">82655    </v>
      </c>
      <c r="G64" s="1" t="str">
        <f>"8004213550"</f>
        <v>8004213550</v>
      </c>
      <c r="H64" s="1" t="s">
        <v>2760</v>
      </c>
    </row>
    <row r="65" spans="1:8" x14ac:dyDescent="0.25">
      <c r="A65" s="1" t="str">
        <f>"163  "</f>
        <v xml:space="preserve">163  </v>
      </c>
      <c r="B65" s="1" t="s">
        <v>1991</v>
      </c>
      <c r="C65" s="1" t="s">
        <v>1992</v>
      </c>
      <c r="D65" s="1" t="s">
        <v>2923</v>
      </c>
      <c r="E65" s="1" t="s">
        <v>2714</v>
      </c>
      <c r="F65" s="1" t="str">
        <f>"432182202"</f>
        <v>432182202</v>
      </c>
      <c r="G65" s="1" t="str">
        <f>"6142497111"</f>
        <v>6142497111</v>
      </c>
      <c r="H65" s="1" t="s">
        <v>2637</v>
      </c>
    </row>
    <row r="66" spans="1:8" x14ac:dyDescent="0.25">
      <c r="A66" s="1" t="str">
        <f>"164  "</f>
        <v xml:space="preserve">164  </v>
      </c>
      <c r="B66" s="1" t="s">
        <v>1905</v>
      </c>
      <c r="C66" s="1" t="s">
        <v>2216</v>
      </c>
      <c r="D66" s="1" t="s">
        <v>3188</v>
      </c>
      <c r="E66" s="1" t="s">
        <v>2832</v>
      </c>
      <c r="F66" s="1" t="str">
        <f>"325910130"</f>
        <v>325910130</v>
      </c>
      <c r="G66" s="1" t="str">
        <f>"8006268913"</f>
        <v>8006268913</v>
      </c>
      <c r="H66" s="1" t="s">
        <v>2637</v>
      </c>
    </row>
    <row r="67" spans="1:8" x14ac:dyDescent="0.25">
      <c r="A67" s="1" t="str">
        <f>"165  "</f>
        <v xml:space="preserve">165  </v>
      </c>
      <c r="B67" s="1" t="s">
        <v>2482</v>
      </c>
      <c r="C67" s="1" t="s">
        <v>2483</v>
      </c>
      <c r="D67" s="1" t="s">
        <v>2717</v>
      </c>
      <c r="E67" s="1" t="s">
        <v>2681</v>
      </c>
      <c r="F67" s="1" t="str">
        <f>"30348    "</f>
        <v xml:space="preserve">30348    </v>
      </c>
      <c r="G67" s="1" t="str">
        <f>"8003884580"</f>
        <v>8003884580</v>
      </c>
      <c r="H67" s="1" t="s">
        <v>2637</v>
      </c>
    </row>
    <row r="68" spans="1:8" x14ac:dyDescent="0.25">
      <c r="A68" s="1" t="str">
        <f>"166  "</f>
        <v xml:space="preserve">166  </v>
      </c>
      <c r="B68" s="1" t="s">
        <v>2405</v>
      </c>
      <c r="C68" s="1" t="s">
        <v>2406</v>
      </c>
      <c r="D68" s="1" t="s">
        <v>2713</v>
      </c>
      <c r="E68" s="1" t="s">
        <v>2714</v>
      </c>
      <c r="F68" s="1" t="str">
        <f>"441014953"</f>
        <v>441014953</v>
      </c>
      <c r="G68" s="1" t="str">
        <f>"2166966400"</f>
        <v>2166966400</v>
      </c>
      <c r="H68" s="1" t="s">
        <v>2637</v>
      </c>
    </row>
    <row r="69" spans="1:8" x14ac:dyDescent="0.25">
      <c r="A69" s="1" t="str">
        <f>"167  "</f>
        <v xml:space="preserve">167  </v>
      </c>
      <c r="B69" s="1" t="s">
        <v>3007</v>
      </c>
      <c r="C69" s="1" t="s">
        <v>3008</v>
      </c>
      <c r="D69" s="1" t="s">
        <v>2977</v>
      </c>
      <c r="E69" s="1" t="s">
        <v>2858</v>
      </c>
      <c r="F69" s="1" t="str">
        <f>"98124    "</f>
        <v xml:space="preserve">98124    </v>
      </c>
      <c r="G69" s="1" t="str">
        <f>"8775039095"</f>
        <v>8775039095</v>
      </c>
      <c r="H69" s="1" t="s">
        <v>2688</v>
      </c>
    </row>
    <row r="70" spans="1:8" x14ac:dyDescent="0.25">
      <c r="A70" s="1" t="str">
        <f>"168  "</f>
        <v xml:space="preserve">168  </v>
      </c>
      <c r="B70" s="1" t="s">
        <v>3002</v>
      </c>
      <c r="C70" s="1" t="s">
        <v>3003</v>
      </c>
      <c r="D70" s="1" t="s">
        <v>3004</v>
      </c>
      <c r="E70" s="1" t="s">
        <v>2773</v>
      </c>
      <c r="F70" s="1" t="str">
        <f>"11753    "</f>
        <v xml:space="preserve">11753    </v>
      </c>
      <c r="G70" s="1" t="str">
        <f>"5163906000"</f>
        <v>5163906000</v>
      </c>
      <c r="H70" s="1" t="s">
        <v>2637</v>
      </c>
    </row>
    <row r="71" spans="1:8" x14ac:dyDescent="0.25">
      <c r="A71" s="1" t="str">
        <f>"169  "</f>
        <v xml:space="preserve">169  </v>
      </c>
      <c r="B71" s="1" t="s">
        <v>657</v>
      </c>
      <c r="C71" s="1" t="str">
        <f>"930 BEAUMONT AVENUE                               "</f>
        <v xml:space="preserve">930 BEAUMONT AVENUE                               </v>
      </c>
      <c r="D71" s="1" t="s">
        <v>2616</v>
      </c>
      <c r="E71" s="1" t="s">
        <v>2660</v>
      </c>
      <c r="F71" s="1" t="str">
        <f>"29303    "</f>
        <v xml:space="preserve">29303    </v>
      </c>
      <c r="G71" s="1" t="str">
        <f>"8645856456"</f>
        <v>8645856456</v>
      </c>
      <c r="H71" s="1" t="s">
        <v>2637</v>
      </c>
    </row>
    <row r="72" spans="1:8" x14ac:dyDescent="0.25">
      <c r="A72" s="1" t="str">
        <f>"170  "</f>
        <v xml:space="preserve">170  </v>
      </c>
      <c r="B72" s="1" t="s">
        <v>1215</v>
      </c>
      <c r="C72" s="1" t="s">
        <v>1216</v>
      </c>
      <c r="D72" s="1" t="s">
        <v>2067</v>
      </c>
      <c r="E72" s="1" t="s">
        <v>2677</v>
      </c>
      <c r="F72" s="1" t="str">
        <f>"27605    "</f>
        <v xml:space="preserve">27605    </v>
      </c>
      <c r="G72" s="1" t="str">
        <f>"9198318189"</f>
        <v>9198318189</v>
      </c>
      <c r="H72" s="1" t="s">
        <v>2637</v>
      </c>
    </row>
    <row r="73" spans="1:8" x14ac:dyDescent="0.25">
      <c r="A73" s="1" t="str">
        <f>"171  "</f>
        <v xml:space="preserve">171  </v>
      </c>
      <c r="B73" s="1" t="s">
        <v>2249</v>
      </c>
      <c r="C73" s="1" t="s">
        <v>2250</v>
      </c>
      <c r="D73" s="1" t="s">
        <v>2036</v>
      </c>
      <c r="E73" s="1" t="s">
        <v>2677</v>
      </c>
      <c r="F73" s="1" t="str">
        <f>"27102    "</f>
        <v xml:space="preserve">27102    </v>
      </c>
      <c r="G73" s="1" t="str">
        <f>"8003683804"</f>
        <v>8003683804</v>
      </c>
      <c r="H73" s="1" t="s">
        <v>2637</v>
      </c>
    </row>
    <row r="74" spans="1:8" x14ac:dyDescent="0.25">
      <c r="A74" s="1" t="str">
        <f>"172  "</f>
        <v xml:space="preserve">172  </v>
      </c>
      <c r="B74" s="1" t="s">
        <v>31</v>
      </c>
      <c r="C74" s="1" t="s">
        <v>32</v>
      </c>
      <c r="D74" s="1" t="s">
        <v>33</v>
      </c>
      <c r="E74" s="1" t="s">
        <v>3118</v>
      </c>
      <c r="F74" s="1" t="str">
        <f>"016150118"</f>
        <v>016150118</v>
      </c>
      <c r="G74" s="1" t="str">
        <f>"5087994441"</f>
        <v>5087994441</v>
      </c>
      <c r="H74" s="1" t="s">
        <v>2637</v>
      </c>
    </row>
    <row r="75" spans="1:8" x14ac:dyDescent="0.25">
      <c r="A75" s="1" t="str">
        <f>"173  "</f>
        <v xml:space="preserve">173  </v>
      </c>
      <c r="B75" s="1" t="s">
        <v>1963</v>
      </c>
      <c r="C75" s="1" t="s">
        <v>2216</v>
      </c>
      <c r="D75" s="1" t="s">
        <v>3188</v>
      </c>
      <c r="E75" s="1" t="s">
        <v>2832</v>
      </c>
      <c r="F75" s="1" t="str">
        <f>"325910100"</f>
        <v>325910100</v>
      </c>
      <c r="G75" s="1" t="str">
        <f>"8002757366"</f>
        <v>8002757366</v>
      </c>
      <c r="H75" s="1" t="s">
        <v>2637</v>
      </c>
    </row>
    <row r="76" spans="1:8" x14ac:dyDescent="0.25">
      <c r="A76" s="1" t="str">
        <f>"174  "</f>
        <v xml:space="preserve">174  </v>
      </c>
      <c r="B76" s="1" t="s">
        <v>2583</v>
      </c>
      <c r="C76" s="1" t="str">
        <f>"360 WEST 31ST STREET, 3RD FL                      "</f>
        <v xml:space="preserve">360 WEST 31ST STREET, 3RD FL                      </v>
      </c>
      <c r="D76" s="1" t="s">
        <v>2772</v>
      </c>
      <c r="E76" s="1" t="s">
        <v>2773</v>
      </c>
      <c r="F76" s="1" t="str">
        <f>"10001    "</f>
        <v xml:space="preserve">10001    </v>
      </c>
      <c r="G76" s="1" t="str">
        <f>"2123374900"</f>
        <v>2123374900</v>
      </c>
      <c r="H76" s="1" t="s">
        <v>2637</v>
      </c>
    </row>
    <row r="77" spans="1:8" x14ac:dyDescent="0.25">
      <c r="A77" s="1" t="str">
        <f>"175  "</f>
        <v xml:space="preserve">175  </v>
      </c>
      <c r="B77" s="1" t="s">
        <v>473</v>
      </c>
      <c r="C77" s="1" t="s">
        <v>474</v>
      </c>
      <c r="D77" s="1" t="s">
        <v>2805</v>
      </c>
      <c r="E77" s="1" t="s">
        <v>2636</v>
      </c>
      <c r="F77" s="1" t="str">
        <f>"787200225"</f>
        <v>787200225</v>
      </c>
      <c r="G77" s="1" t="str">
        <f>"5123453200"</f>
        <v>5123453200</v>
      </c>
      <c r="H77" s="1" t="s">
        <v>2637</v>
      </c>
    </row>
    <row r="78" spans="1:8" x14ac:dyDescent="0.25">
      <c r="A78" s="1" t="str">
        <f>"176  "</f>
        <v xml:space="preserve">176  </v>
      </c>
      <c r="B78" s="1" t="s">
        <v>1220</v>
      </c>
      <c r="C78" s="1" t="s">
        <v>1221</v>
      </c>
      <c r="D78" s="1" t="s">
        <v>3085</v>
      </c>
      <c r="E78" s="1" t="s">
        <v>3086</v>
      </c>
      <c r="F78" s="1" t="str">
        <f>"35238    "</f>
        <v xml:space="preserve">35238    </v>
      </c>
      <c r="G78" s="1" t="str">
        <f>"8005956949"</f>
        <v>8005956949</v>
      </c>
      <c r="H78" s="1" t="s">
        <v>2637</v>
      </c>
    </row>
    <row r="79" spans="1:8" x14ac:dyDescent="0.25">
      <c r="A79" s="1" t="str">
        <f>"177  "</f>
        <v xml:space="preserve">177  </v>
      </c>
      <c r="B79" s="1" t="s">
        <v>29</v>
      </c>
      <c r="C79" s="1" t="str">
        <f>"144 N BEVERWYCK RD #332                           "</f>
        <v xml:space="preserve">144 N BEVERWYCK RD #332                           </v>
      </c>
      <c r="D79" s="1" t="s">
        <v>30</v>
      </c>
      <c r="E79" s="1" t="s">
        <v>2821</v>
      </c>
      <c r="F79" s="1" t="str">
        <f>"080341997"</f>
        <v>080341997</v>
      </c>
      <c r="G79" s="1" t="str">
        <f>"8008471148"</f>
        <v>8008471148</v>
      </c>
      <c r="H79" s="1" t="s">
        <v>2735</v>
      </c>
    </row>
    <row r="80" spans="1:8" x14ac:dyDescent="0.25">
      <c r="A80" s="1" t="str">
        <f>"178  "</f>
        <v xml:space="preserve">178  </v>
      </c>
      <c r="B80" s="1" t="s">
        <v>3216</v>
      </c>
      <c r="C80" s="1" t="str">
        <f>"5838 W BRICK RD SUITE 106                         "</f>
        <v xml:space="preserve">5838 W BRICK RD SUITE 106                         </v>
      </c>
      <c r="D80" s="1" t="s">
        <v>3217</v>
      </c>
      <c r="E80" s="1" t="s">
        <v>2706</v>
      </c>
      <c r="F80" s="1" t="str">
        <f>"46628    "</f>
        <v xml:space="preserve">46628    </v>
      </c>
      <c r="G80" s="1" t="str">
        <f>"8662006700"</f>
        <v>8662006700</v>
      </c>
      <c r="H80" s="1" t="s">
        <v>3218</v>
      </c>
    </row>
    <row r="81" spans="1:8" x14ac:dyDescent="0.25">
      <c r="A81" s="1" t="str">
        <f>"179  "</f>
        <v xml:space="preserve">179  </v>
      </c>
      <c r="B81" s="1" t="s">
        <v>1664</v>
      </c>
      <c r="C81" s="1" t="s">
        <v>1665</v>
      </c>
      <c r="D81" s="1" t="s">
        <v>2673</v>
      </c>
      <c r="E81" s="1" t="s">
        <v>2674</v>
      </c>
      <c r="F81" s="1" t="str">
        <f>"84145    "</f>
        <v xml:space="preserve">84145    </v>
      </c>
      <c r="G81" s="1" t="str">
        <f>"8007773622"</f>
        <v>8007773622</v>
      </c>
      <c r="H81" s="1" t="s">
        <v>2637</v>
      </c>
    </row>
    <row r="82" spans="1:8" x14ac:dyDescent="0.25">
      <c r="A82" s="1" t="str">
        <f>"180  "</f>
        <v xml:space="preserve">180  </v>
      </c>
      <c r="B82" s="1" t="s">
        <v>210</v>
      </c>
      <c r="C82" s="1" t="s">
        <v>211</v>
      </c>
      <c r="D82" s="1" t="s">
        <v>2981</v>
      </c>
      <c r="E82" s="1" t="s">
        <v>2832</v>
      </c>
      <c r="F82" s="1" t="str">
        <f>"33631    "</f>
        <v xml:space="preserve">33631    </v>
      </c>
      <c r="G82" s="1" t="str">
        <f>"8008847975"</f>
        <v>8008847975</v>
      </c>
      <c r="H82" s="1" t="s">
        <v>2648</v>
      </c>
    </row>
    <row r="83" spans="1:8" x14ac:dyDescent="0.25">
      <c r="A83" s="1" t="str">
        <f>"181  "</f>
        <v xml:space="preserve">181  </v>
      </c>
      <c r="B83" s="1" t="s">
        <v>2003</v>
      </c>
      <c r="C83" s="1" t="str">
        <f>"450 E. REMINGTON RD.                              "</f>
        <v xml:space="preserve">450 E. REMINGTON RD.                              </v>
      </c>
      <c r="D83" s="1" t="s">
        <v>2004</v>
      </c>
      <c r="E83" s="1" t="s">
        <v>2786</v>
      </c>
      <c r="F83" s="1" t="str">
        <f>"60173    "</f>
        <v xml:space="preserve">60173    </v>
      </c>
      <c r="G83" s="1" t="str">
        <f>"8475191880"</f>
        <v>8475191880</v>
      </c>
      <c r="H83" s="1" t="s">
        <v>2637</v>
      </c>
    </row>
    <row r="84" spans="1:8" x14ac:dyDescent="0.25">
      <c r="A84" s="1" t="str">
        <f>"182  "</f>
        <v xml:space="preserve">182  </v>
      </c>
      <c r="B84" s="1" t="s">
        <v>1181</v>
      </c>
      <c r="C84" s="1" t="s">
        <v>1182</v>
      </c>
      <c r="D84" s="1" t="s">
        <v>1183</v>
      </c>
      <c r="E84" s="1" t="s">
        <v>2697</v>
      </c>
      <c r="F84" s="1" t="str">
        <f>"181057066"</f>
        <v>181057066</v>
      </c>
      <c r="G84" s="1" t="str">
        <f>"8003620700"</f>
        <v>8003620700</v>
      </c>
      <c r="H84" s="1" t="s">
        <v>2648</v>
      </c>
    </row>
    <row r="85" spans="1:8" x14ac:dyDescent="0.25">
      <c r="A85" s="1" t="str">
        <f>"183  "</f>
        <v xml:space="preserve">183  </v>
      </c>
      <c r="B85" s="1" t="s">
        <v>90</v>
      </c>
      <c r="C85" s="1" t="s">
        <v>91</v>
      </c>
      <c r="D85" s="1" t="s">
        <v>92</v>
      </c>
      <c r="E85" s="1" t="s">
        <v>2731</v>
      </c>
      <c r="F85" s="1" t="str">
        <f>"70434    "</f>
        <v xml:space="preserve">70434    </v>
      </c>
      <c r="G85" s="1" t="str">
        <f>"8002342643"</f>
        <v>8002342643</v>
      </c>
      <c r="H85" s="1" t="s">
        <v>2637</v>
      </c>
    </row>
    <row r="86" spans="1:8" x14ac:dyDescent="0.25">
      <c r="A86" s="1" t="str">
        <f>"184  "</f>
        <v xml:space="preserve">184  </v>
      </c>
      <c r="B86" s="1" t="s">
        <v>940</v>
      </c>
      <c r="C86" s="1" t="s">
        <v>941</v>
      </c>
      <c r="D86" s="1" t="s">
        <v>942</v>
      </c>
      <c r="E86" s="1" t="s">
        <v>2677</v>
      </c>
      <c r="F86" s="1" t="str">
        <f>"27102    "</f>
        <v xml:space="preserve">27102    </v>
      </c>
      <c r="G86" s="1" t="str">
        <f>"8003009566"</f>
        <v>8003009566</v>
      </c>
      <c r="H86" s="1" t="s">
        <v>2637</v>
      </c>
    </row>
    <row r="87" spans="1:8" x14ac:dyDescent="0.25">
      <c r="A87" s="1" t="str">
        <f>"185  "</f>
        <v xml:space="preserve">185  </v>
      </c>
      <c r="B87" s="1" t="s">
        <v>1211</v>
      </c>
      <c r="C87" s="1" t="s">
        <v>1212</v>
      </c>
      <c r="D87" s="1" t="s">
        <v>3070</v>
      </c>
      <c r="E87" s="1" t="s">
        <v>2714</v>
      </c>
      <c r="F87" s="1" t="str">
        <f>"45216    "</f>
        <v xml:space="preserve">45216    </v>
      </c>
      <c r="G87" s="1" t="str">
        <f>"8888008717"</f>
        <v>8888008717</v>
      </c>
      <c r="H87" s="1" t="s">
        <v>2637</v>
      </c>
    </row>
    <row r="88" spans="1:8" x14ac:dyDescent="0.25">
      <c r="A88" s="1" t="str">
        <f>"186  "</f>
        <v xml:space="preserve">186  </v>
      </c>
      <c r="B88" s="1" t="s">
        <v>829</v>
      </c>
      <c r="C88" s="1" t="s">
        <v>1675</v>
      </c>
      <c r="D88" s="1" t="s">
        <v>2717</v>
      </c>
      <c r="E88" s="1" t="s">
        <v>2681</v>
      </c>
      <c r="F88" s="1" t="str">
        <f>"303485006"</f>
        <v>303485006</v>
      </c>
      <c r="G88" s="1" t="str">
        <f>"7709805100"</f>
        <v>7709805100</v>
      </c>
      <c r="H88" s="1" t="s">
        <v>2637</v>
      </c>
    </row>
    <row r="89" spans="1:8" x14ac:dyDescent="0.25">
      <c r="A89" s="1" t="str">
        <f>"187  "</f>
        <v xml:space="preserve">187  </v>
      </c>
      <c r="B89" s="1" t="s">
        <v>1207</v>
      </c>
      <c r="C89" s="1" t="s">
        <v>1208</v>
      </c>
      <c r="D89" s="1" t="s">
        <v>1381</v>
      </c>
      <c r="E89" s="1" t="s">
        <v>2862</v>
      </c>
      <c r="F89" s="1" t="str">
        <f>"68501    "</f>
        <v xml:space="preserve">68501    </v>
      </c>
      <c r="G89" s="1" t="str">
        <f>"8004977044"</f>
        <v>8004977044</v>
      </c>
      <c r="H89" s="1" t="s">
        <v>2637</v>
      </c>
    </row>
    <row r="90" spans="1:8" x14ac:dyDescent="0.25">
      <c r="A90" s="1" t="str">
        <f>"188  "</f>
        <v xml:space="preserve">188  </v>
      </c>
      <c r="B90" s="1" t="s">
        <v>938</v>
      </c>
      <c r="C90" s="1" t="s">
        <v>939</v>
      </c>
      <c r="D90" s="1" t="s">
        <v>2740</v>
      </c>
      <c r="E90" s="1" t="s">
        <v>2660</v>
      </c>
      <c r="F90" s="1" t="str">
        <f>"29716    "</f>
        <v xml:space="preserve">29716    </v>
      </c>
      <c r="G90" s="1" t="str">
        <f>"8035483657"</f>
        <v>8035483657</v>
      </c>
      <c r="H90" s="1" t="s">
        <v>2637</v>
      </c>
    </row>
    <row r="91" spans="1:8" x14ac:dyDescent="0.25">
      <c r="A91" s="1" t="str">
        <f>"189  "</f>
        <v xml:space="preserve">189  </v>
      </c>
      <c r="B91" s="1" t="s">
        <v>87</v>
      </c>
      <c r="C91" s="1" t="s">
        <v>88</v>
      </c>
      <c r="D91" s="1" t="s">
        <v>89</v>
      </c>
      <c r="E91" s="1" t="s">
        <v>2773</v>
      </c>
      <c r="F91" s="1" t="str">
        <f>"148510307"</f>
        <v>148510307</v>
      </c>
      <c r="G91" s="1" t="str">
        <f>"8664337462"</f>
        <v>8664337462</v>
      </c>
      <c r="H91" s="1" t="s">
        <v>2637</v>
      </c>
    </row>
    <row r="92" spans="1:8" x14ac:dyDescent="0.25">
      <c r="A92" s="1" t="str">
        <f>"190  "</f>
        <v xml:space="preserve">190  </v>
      </c>
      <c r="B92" s="1" t="s">
        <v>1659</v>
      </c>
      <c r="C92" s="1" t="str">
        <f>"754 MINNESOTA AVENUE, SUITE 522                   "</f>
        <v xml:space="preserve">754 MINNESOTA AVENUE, SUITE 522                   </v>
      </c>
      <c r="D92" s="1" t="s">
        <v>2685</v>
      </c>
      <c r="E92" s="1" t="s">
        <v>2749</v>
      </c>
      <c r="F92" s="1" t="str">
        <f>"661012762"</f>
        <v>661012762</v>
      </c>
      <c r="G92" s="1" t="str">
        <f>"9133426555"</f>
        <v>9133426555</v>
      </c>
      <c r="H92" s="1" t="s">
        <v>2637</v>
      </c>
    </row>
    <row r="93" spans="1:8" x14ac:dyDescent="0.25">
      <c r="A93" s="1" t="str">
        <f>"191  "</f>
        <v xml:space="preserve">191  </v>
      </c>
      <c r="B93" s="1" t="s">
        <v>2303</v>
      </c>
      <c r="C93" s="1" t="s">
        <v>2304</v>
      </c>
      <c r="D93" s="1" t="s">
        <v>2791</v>
      </c>
      <c r="E93" s="1" t="s">
        <v>2744</v>
      </c>
      <c r="F93" s="1" t="str">
        <f>"40742    "</f>
        <v xml:space="preserve">40742    </v>
      </c>
      <c r="G93" s="1" t="str">
        <f>"8008337423"</f>
        <v>8008337423</v>
      </c>
      <c r="H93" s="1" t="s">
        <v>2305</v>
      </c>
    </row>
    <row r="94" spans="1:8" x14ac:dyDescent="0.25">
      <c r="A94" s="1" t="str">
        <f>"192  "</f>
        <v xml:space="preserve">192  </v>
      </c>
      <c r="B94" s="1" t="s">
        <v>552</v>
      </c>
      <c r="C94" s="1" t="s">
        <v>553</v>
      </c>
      <c r="D94" s="1" t="s">
        <v>2791</v>
      </c>
      <c r="E94" s="1" t="s">
        <v>2744</v>
      </c>
      <c r="F94" s="1" t="str">
        <f>"40742    "</f>
        <v xml:space="preserve">40742    </v>
      </c>
      <c r="G94" s="1" t="str">
        <f>"8002883343"</f>
        <v>8002883343</v>
      </c>
      <c r="H94" s="1" t="s">
        <v>2648</v>
      </c>
    </row>
    <row r="95" spans="1:8" x14ac:dyDescent="0.25">
      <c r="A95" s="1" t="str">
        <f>"193  "</f>
        <v xml:space="preserve">193  </v>
      </c>
      <c r="B95" s="1" t="s">
        <v>155</v>
      </c>
      <c r="C95" s="1" t="s">
        <v>156</v>
      </c>
      <c r="D95" s="1" t="s">
        <v>2061</v>
      </c>
      <c r="E95" s="1" t="s">
        <v>2636</v>
      </c>
      <c r="F95" s="1" t="str">
        <f>"750853916"</f>
        <v>750853916</v>
      </c>
      <c r="G95" s="1" t="str">
        <f>"8009377039"</f>
        <v>8009377039</v>
      </c>
      <c r="H95" s="1" t="s">
        <v>2637</v>
      </c>
    </row>
    <row r="96" spans="1:8" x14ac:dyDescent="0.25">
      <c r="A96" s="1" t="str">
        <f>"194  "</f>
        <v xml:space="preserve">194  </v>
      </c>
      <c r="B96" s="1" t="s">
        <v>1744</v>
      </c>
      <c r="C96" s="1" t="s">
        <v>1745</v>
      </c>
      <c r="D96" s="1" t="s">
        <v>3033</v>
      </c>
      <c r="E96" s="1" t="s">
        <v>3034</v>
      </c>
      <c r="F96" s="1" t="str">
        <f>"571177406"</f>
        <v>571177406</v>
      </c>
      <c r="G96" s="1" t="s">
        <v>2637</v>
      </c>
      <c r="H96" s="1" t="s">
        <v>2688</v>
      </c>
    </row>
    <row r="97" spans="1:8" x14ac:dyDescent="0.25">
      <c r="A97" s="1" t="str">
        <f>"195  "</f>
        <v xml:space="preserve">195  </v>
      </c>
      <c r="B97" s="1" t="s">
        <v>2589</v>
      </c>
      <c r="C97" s="1" t="s">
        <v>2590</v>
      </c>
      <c r="D97" s="1" t="s">
        <v>2871</v>
      </c>
      <c r="E97" s="1" t="s">
        <v>2636</v>
      </c>
      <c r="F97" s="1" t="str">
        <f>"752655433"</f>
        <v>752655433</v>
      </c>
      <c r="G97" s="1" t="str">
        <f>"2149547840"</f>
        <v>2149547840</v>
      </c>
      <c r="H97" s="1" t="s">
        <v>2637</v>
      </c>
    </row>
    <row r="98" spans="1:8" x14ac:dyDescent="0.25">
      <c r="A98" s="1" t="str">
        <f>"196  "</f>
        <v xml:space="preserve">196  </v>
      </c>
      <c r="B98" s="1" t="s">
        <v>2638</v>
      </c>
      <c r="C98" s="1" t="str">
        <f>"3909 HULEN ST                                     "</f>
        <v xml:space="preserve">3909 HULEN ST                                     </v>
      </c>
      <c r="D98" s="1" t="s">
        <v>2639</v>
      </c>
      <c r="E98" s="1" t="s">
        <v>2636</v>
      </c>
      <c r="F98" s="1" t="str">
        <f>"76107    "</f>
        <v xml:space="preserve">76107    </v>
      </c>
      <c r="G98" s="1" t="str">
        <f>"8007320657"</f>
        <v>8007320657</v>
      </c>
      <c r="H98" s="1" t="s">
        <v>2637</v>
      </c>
    </row>
    <row r="99" spans="1:8" x14ac:dyDescent="0.25">
      <c r="A99" s="1" t="str">
        <f>"197  "</f>
        <v xml:space="preserve">197  </v>
      </c>
      <c r="B99" s="1" t="s">
        <v>572</v>
      </c>
      <c r="C99" s="1" t="str">
        <f>"505 S LENOLA RD, SUITE 231                        "</f>
        <v xml:space="preserve">505 S LENOLA RD, SUITE 231                        </v>
      </c>
      <c r="D99" s="1" t="s">
        <v>2391</v>
      </c>
      <c r="E99" s="1" t="s">
        <v>2821</v>
      </c>
      <c r="F99" s="1" t="str">
        <f>"08057    "</f>
        <v xml:space="preserve">08057    </v>
      </c>
      <c r="G99" s="1" t="str">
        <f>"866-375-07"</f>
        <v>866-375-07</v>
      </c>
      <c r="H99" s="1" t="s">
        <v>2637</v>
      </c>
    </row>
    <row r="100" spans="1:8" x14ac:dyDescent="0.25">
      <c r="A100" s="1" t="str">
        <f>"198  "</f>
        <v xml:space="preserve">198  </v>
      </c>
      <c r="B100" s="1" t="s">
        <v>1039</v>
      </c>
      <c r="C100" s="1" t="s">
        <v>1040</v>
      </c>
      <c r="D100" s="1" t="s">
        <v>1041</v>
      </c>
      <c r="E100" s="1" t="s">
        <v>2885</v>
      </c>
      <c r="F100" s="1" t="str">
        <f>"735344   "</f>
        <v xml:space="preserve">735344   </v>
      </c>
      <c r="G100" s="1" t="str">
        <f>"8003668355"</f>
        <v>8003668355</v>
      </c>
      <c r="H100" s="1" t="s">
        <v>2648</v>
      </c>
    </row>
    <row r="101" spans="1:8" x14ac:dyDescent="0.25">
      <c r="A101" s="1" t="str">
        <f>"199  "</f>
        <v xml:space="preserve">199  </v>
      </c>
      <c r="B101" s="1" t="s">
        <v>758</v>
      </c>
      <c r="C101" s="1" t="str">
        <f>"-                                                 "</f>
        <v xml:space="preserve">-                                                 </v>
      </c>
      <c r="D101" s="1" t="str">
        <f>"-                                      "</f>
        <v xml:space="preserve">-                                      </v>
      </c>
      <c r="E101" s="1" t="str">
        <f>"- "</f>
        <v xml:space="preserve">- </v>
      </c>
      <c r="F101" s="1" t="str">
        <f>"-        "</f>
        <v xml:space="preserve">-        </v>
      </c>
      <c r="G101" s="1" t="s">
        <v>2637</v>
      </c>
      <c r="H101" s="1" t="s">
        <v>2637</v>
      </c>
    </row>
    <row r="102" spans="1:8" x14ac:dyDescent="0.25">
      <c r="A102" s="1" t="str">
        <f>"200  "</f>
        <v xml:space="preserve">200  </v>
      </c>
      <c r="B102" s="1" t="s">
        <v>1495</v>
      </c>
      <c r="C102" s="1" t="str">
        <f>"8501 WEST HIGGINS ROAD                            "</f>
        <v xml:space="preserve">8501 WEST HIGGINS ROAD                            </v>
      </c>
      <c r="D102" s="1" t="s">
        <v>2154</v>
      </c>
      <c r="E102" s="1" t="s">
        <v>2786</v>
      </c>
      <c r="F102" s="1" t="str">
        <f>"60631    "</f>
        <v xml:space="preserve">60631    </v>
      </c>
      <c r="G102" s="1" t="str">
        <f>"7733996645"</f>
        <v>7733996645</v>
      </c>
      <c r="H102" s="1" t="s">
        <v>2637</v>
      </c>
    </row>
    <row r="103" spans="1:8" x14ac:dyDescent="0.25">
      <c r="A103" s="1" t="str">
        <f>"201  "</f>
        <v xml:space="preserve">201  </v>
      </c>
      <c r="B103" s="1" t="s">
        <v>2875</v>
      </c>
      <c r="C103" s="1" t="s">
        <v>2876</v>
      </c>
      <c r="D103" s="1" t="s">
        <v>2877</v>
      </c>
      <c r="E103" s="1" t="s">
        <v>2786</v>
      </c>
      <c r="F103" s="1" t="str">
        <f>"61656    "</f>
        <v xml:space="preserve">61656    </v>
      </c>
      <c r="G103" s="1" t="str">
        <f>"8003221516"</f>
        <v>8003221516</v>
      </c>
      <c r="H103" s="1" t="s">
        <v>2637</v>
      </c>
    </row>
    <row r="104" spans="1:8" x14ac:dyDescent="0.25">
      <c r="A104" s="1" t="str">
        <f>"202  "</f>
        <v xml:space="preserve">202  </v>
      </c>
      <c r="B104" s="1" t="s">
        <v>680</v>
      </c>
      <c r="C104" s="1" t="s">
        <v>681</v>
      </c>
      <c r="D104" s="1" t="s">
        <v>2042</v>
      </c>
      <c r="E104" s="1" t="s">
        <v>3118</v>
      </c>
      <c r="F104" s="1" t="str">
        <f>"02117    "</f>
        <v xml:space="preserve">02117    </v>
      </c>
      <c r="G104" s="1" t="str">
        <f>"8002331449"</f>
        <v>8002331449</v>
      </c>
      <c r="H104" s="1" t="s">
        <v>2637</v>
      </c>
    </row>
    <row r="105" spans="1:8" x14ac:dyDescent="0.25">
      <c r="A105" s="1" t="str">
        <f>"203  "</f>
        <v xml:space="preserve">203  </v>
      </c>
      <c r="B105" s="1" t="s">
        <v>1075</v>
      </c>
      <c r="C105" s="1" t="str">
        <f>"29 COLUMBIA HEIGHTS                               "</f>
        <v xml:space="preserve">29 COLUMBIA HEIGHTS                               </v>
      </c>
      <c r="D105" s="1" t="s">
        <v>2927</v>
      </c>
      <c r="E105" s="1" t="s">
        <v>2773</v>
      </c>
      <c r="F105" s="1" t="str">
        <f>"11201    "</f>
        <v xml:space="preserve">11201    </v>
      </c>
      <c r="G105" s="1" t="str">
        <f>"8005544022"</f>
        <v>8005544022</v>
      </c>
      <c r="H105" s="1" t="s">
        <v>2688</v>
      </c>
    </row>
    <row r="106" spans="1:8" x14ac:dyDescent="0.25">
      <c r="A106" s="1" t="str">
        <f>"204  "</f>
        <v xml:space="preserve">204  </v>
      </c>
      <c r="B106" s="1" t="s">
        <v>843</v>
      </c>
      <c r="C106" s="1" t="str">
        <f>"18167 US HWY 19N                                  "</f>
        <v xml:space="preserve">18167 US HWY 19N                                  </v>
      </c>
      <c r="D106" s="1" t="s">
        <v>3074</v>
      </c>
      <c r="E106" s="1" t="s">
        <v>2832</v>
      </c>
      <c r="F106" s="1" t="str">
        <f>"33764    "</f>
        <v xml:space="preserve">33764    </v>
      </c>
      <c r="G106" s="1" t="str">
        <f>"7275320400"</f>
        <v>7275320400</v>
      </c>
      <c r="H106" s="1" t="s">
        <v>2637</v>
      </c>
    </row>
    <row r="107" spans="1:8" x14ac:dyDescent="0.25">
      <c r="A107" s="1" t="str">
        <f>"205  "</f>
        <v xml:space="preserve">205  </v>
      </c>
      <c r="B107" s="1" t="s">
        <v>2745</v>
      </c>
      <c r="C107" s="1" t="str">
        <f>"3130 BROADWAY                                     "</f>
        <v xml:space="preserve">3130 BROADWAY                                     </v>
      </c>
      <c r="D107" s="1" t="s">
        <v>2685</v>
      </c>
      <c r="E107" s="1" t="s">
        <v>2670</v>
      </c>
      <c r="F107" s="1" t="str">
        <f>"641112406"</f>
        <v>641112406</v>
      </c>
      <c r="G107" s="1" t="str">
        <f>"8006488624"</f>
        <v>8006488624</v>
      </c>
      <c r="H107" s="1" t="s">
        <v>2637</v>
      </c>
    </row>
    <row r="108" spans="1:8" x14ac:dyDescent="0.25">
      <c r="A108" s="1" t="str">
        <f>"206  "</f>
        <v xml:space="preserve">206  </v>
      </c>
      <c r="B108" s="1" t="s">
        <v>2421</v>
      </c>
      <c r="C108" s="1" t="s">
        <v>2422</v>
      </c>
      <c r="D108" s="1" t="s">
        <v>2036</v>
      </c>
      <c r="E108" s="1" t="s">
        <v>2677</v>
      </c>
      <c r="F108" s="1" t="str">
        <f>"271145307"</f>
        <v>271145307</v>
      </c>
      <c r="G108" s="1" t="str">
        <f>"8007951023"</f>
        <v>8007951023</v>
      </c>
      <c r="H108" s="1" t="s">
        <v>2637</v>
      </c>
    </row>
    <row r="109" spans="1:8" x14ac:dyDescent="0.25">
      <c r="A109" s="1" t="str">
        <f>"207  "</f>
        <v xml:space="preserve">207  </v>
      </c>
      <c r="B109" s="1" t="s">
        <v>1304</v>
      </c>
      <c r="C109" s="1" t="str">
        <f>"419 E. MAIN ST                                    "</f>
        <v xml:space="preserve">419 E. MAIN ST                                    </v>
      </c>
      <c r="D109" s="1" t="s">
        <v>1305</v>
      </c>
      <c r="E109" s="1" t="s">
        <v>2773</v>
      </c>
      <c r="F109" s="1" t="str">
        <f>"10940    "</f>
        <v xml:space="preserve">10940    </v>
      </c>
      <c r="G109" s="1" t="str">
        <f>"3173298222"</f>
        <v>3173298222</v>
      </c>
      <c r="H109" s="1" t="s">
        <v>2637</v>
      </c>
    </row>
    <row r="110" spans="1:8" x14ac:dyDescent="0.25">
      <c r="A110" s="1" t="str">
        <f>"208  "</f>
        <v xml:space="preserve">208  </v>
      </c>
      <c r="B110" s="1" t="s">
        <v>1222</v>
      </c>
      <c r="C110" s="1" t="s">
        <v>1223</v>
      </c>
      <c r="D110" s="1" t="s">
        <v>1224</v>
      </c>
      <c r="E110" s="1" t="s">
        <v>2773</v>
      </c>
      <c r="F110" s="1" t="str">
        <f>"13761    "</f>
        <v xml:space="preserve">13761    </v>
      </c>
      <c r="G110" s="1" t="str">
        <f>"8002524624"</f>
        <v>8002524624</v>
      </c>
      <c r="H110" s="1" t="s">
        <v>2637</v>
      </c>
    </row>
    <row r="111" spans="1:8" x14ac:dyDescent="0.25">
      <c r="A111" s="1" t="str">
        <f>"209  "</f>
        <v xml:space="preserve">209  </v>
      </c>
      <c r="B111" s="1" t="s">
        <v>1808</v>
      </c>
      <c r="C111" s="1" t="str">
        <f>"7400 COLLEGE BLVD.  STE. 100                      "</f>
        <v xml:space="preserve">7400 COLLEGE BLVD.  STE. 100                      </v>
      </c>
      <c r="D111" s="1" t="s">
        <v>2748</v>
      </c>
      <c r="E111" s="1" t="s">
        <v>2749</v>
      </c>
      <c r="F111" s="1" t="str">
        <f>"66210    "</f>
        <v xml:space="preserve">66210    </v>
      </c>
      <c r="G111" s="1" t="str">
        <f>"8772466997"</f>
        <v>8772466997</v>
      </c>
      <c r="H111" s="1" t="s">
        <v>2637</v>
      </c>
    </row>
    <row r="112" spans="1:8" x14ac:dyDescent="0.25">
      <c r="A112" s="1" t="str">
        <f>"210  "</f>
        <v xml:space="preserve">210  </v>
      </c>
      <c r="B112" s="1" t="s">
        <v>1249</v>
      </c>
      <c r="C112" s="1" t="s">
        <v>1250</v>
      </c>
      <c r="D112" s="1" t="s">
        <v>1381</v>
      </c>
      <c r="E112" s="1" t="s">
        <v>2862</v>
      </c>
      <c r="F112" s="1" t="str">
        <f>"68501    "</f>
        <v xml:space="preserve">68501    </v>
      </c>
      <c r="G112" s="1" t="str">
        <f>"8002559678"</f>
        <v>8002559678</v>
      </c>
      <c r="H112" s="1" t="s">
        <v>2637</v>
      </c>
    </row>
    <row r="113" spans="1:8" x14ac:dyDescent="0.25">
      <c r="A113" s="1" t="str">
        <f>"211  "</f>
        <v xml:space="preserve">211  </v>
      </c>
      <c r="B113" s="1" t="s">
        <v>2059</v>
      </c>
      <c r="C113" s="1" t="s">
        <v>2060</v>
      </c>
      <c r="D113" s="1" t="s">
        <v>2061</v>
      </c>
      <c r="E113" s="1" t="s">
        <v>2636</v>
      </c>
      <c r="F113" s="1" t="str">
        <f>"750853925"</f>
        <v>750853925</v>
      </c>
      <c r="G113" s="1" t="str">
        <f>"8007531000"</f>
        <v>8007531000</v>
      </c>
      <c r="H113" s="1" t="s">
        <v>2637</v>
      </c>
    </row>
    <row r="114" spans="1:8" x14ac:dyDescent="0.25">
      <c r="A114" s="1" t="str">
        <f>"212  "</f>
        <v xml:space="preserve">212  </v>
      </c>
      <c r="B114" s="1" t="s">
        <v>485</v>
      </c>
      <c r="C114" s="1" t="s">
        <v>486</v>
      </c>
      <c r="D114" s="1" t="s">
        <v>3263</v>
      </c>
      <c r="E114" s="1" t="s">
        <v>3264</v>
      </c>
      <c r="F114" s="1" t="str">
        <f>"52733    "</f>
        <v xml:space="preserve">52733    </v>
      </c>
      <c r="G114" s="1" t="str">
        <f>"8476151500"</f>
        <v>8476151500</v>
      </c>
      <c r="H114" s="1" t="s">
        <v>487</v>
      </c>
    </row>
    <row r="115" spans="1:8" x14ac:dyDescent="0.25">
      <c r="A115" s="1" t="str">
        <f>"213  "</f>
        <v xml:space="preserve">213  </v>
      </c>
      <c r="B115" s="1" t="s">
        <v>2815</v>
      </c>
      <c r="C115" s="1" t="s">
        <v>2816</v>
      </c>
      <c r="D115" s="1" t="s">
        <v>2717</v>
      </c>
      <c r="E115" s="1" t="s">
        <v>2681</v>
      </c>
      <c r="F115" s="1" t="str">
        <f>"30348    "</f>
        <v xml:space="preserve">30348    </v>
      </c>
      <c r="G115" s="1" t="str">
        <f>"7702396230"</f>
        <v>7702396230</v>
      </c>
      <c r="H115" s="1" t="s">
        <v>2637</v>
      </c>
    </row>
    <row r="116" spans="1:8" x14ac:dyDescent="0.25">
      <c r="A116" s="1" t="str">
        <f>"214  "</f>
        <v xml:space="preserve">214  </v>
      </c>
      <c r="B116" s="1" t="s">
        <v>3167</v>
      </c>
      <c r="C116" s="1" t="s">
        <v>3168</v>
      </c>
      <c r="D116" s="1" t="s">
        <v>3169</v>
      </c>
      <c r="E116" s="1" t="s">
        <v>3170</v>
      </c>
      <c r="F116" s="1" t="str">
        <f>"99524    "</f>
        <v xml:space="preserve">99524    </v>
      </c>
      <c r="G116" s="1" t="str">
        <f>"8007703740"</f>
        <v>8007703740</v>
      </c>
      <c r="H116" s="1" t="s">
        <v>2637</v>
      </c>
    </row>
    <row r="117" spans="1:8" x14ac:dyDescent="0.25">
      <c r="A117" s="1" t="str">
        <f>"215  "</f>
        <v xml:space="preserve">215  </v>
      </c>
      <c r="B117" s="1" t="s">
        <v>2591</v>
      </c>
      <c r="C117" s="1" t="s">
        <v>2592</v>
      </c>
      <c r="D117" s="1" t="s">
        <v>2939</v>
      </c>
      <c r="E117" s="1" t="s">
        <v>2667</v>
      </c>
      <c r="F117" s="1" t="str">
        <f>"53744    "</f>
        <v xml:space="preserve">53744    </v>
      </c>
      <c r="G117" s="1" t="str">
        <f>"8774693073"</f>
        <v>8774693073</v>
      </c>
      <c r="H117" s="1" t="s">
        <v>2637</v>
      </c>
    </row>
    <row r="118" spans="1:8" x14ac:dyDescent="0.25">
      <c r="A118" s="1" t="str">
        <f>"216  "</f>
        <v xml:space="preserve">216  </v>
      </c>
      <c r="B118" s="1" t="s">
        <v>1625</v>
      </c>
      <c r="C118" s="1" t="s">
        <v>1626</v>
      </c>
      <c r="D118" s="1" t="s">
        <v>2834</v>
      </c>
      <c r="E118" s="1" t="s">
        <v>2832</v>
      </c>
      <c r="F118" s="1" t="str">
        <f>"32245    "</f>
        <v xml:space="preserve">32245    </v>
      </c>
      <c r="G118" s="1" t="str">
        <f>"8004574708"</f>
        <v>8004574708</v>
      </c>
      <c r="H118" s="1" t="s">
        <v>2637</v>
      </c>
    </row>
    <row r="119" spans="1:8" x14ac:dyDescent="0.25">
      <c r="A119" s="1" t="str">
        <f>"217  "</f>
        <v xml:space="preserve">217  </v>
      </c>
      <c r="B119" s="1" t="s">
        <v>962</v>
      </c>
      <c r="C119" s="1" t="str">
        <f>"3316 FARNAM STREET                                "</f>
        <v xml:space="preserve">3316 FARNAM STREET                                </v>
      </c>
      <c r="D119" s="1" t="s">
        <v>2891</v>
      </c>
      <c r="E119" s="1" t="s">
        <v>2862</v>
      </c>
      <c r="F119" s="1" t="str">
        <f>"68175    "</f>
        <v xml:space="preserve">68175    </v>
      </c>
      <c r="G119" s="1" t="str">
        <f>"8776175587"</f>
        <v>8776175587</v>
      </c>
      <c r="H119" s="1" t="s">
        <v>2637</v>
      </c>
    </row>
    <row r="120" spans="1:8" x14ac:dyDescent="0.25">
      <c r="A120" s="1" t="str">
        <f>"218  "</f>
        <v xml:space="preserve">218  </v>
      </c>
      <c r="B120" s="1" t="s">
        <v>1668</v>
      </c>
      <c r="C120" s="1" t="s">
        <v>1669</v>
      </c>
      <c r="D120" s="1" t="s">
        <v>2596</v>
      </c>
      <c r="E120" s="1" t="s">
        <v>2826</v>
      </c>
      <c r="F120" s="1" t="str">
        <f>"80155    "</f>
        <v xml:space="preserve">80155    </v>
      </c>
      <c r="G120" s="1" t="str">
        <f>"8884792000"</f>
        <v>8884792000</v>
      </c>
      <c r="H120" s="1" t="s">
        <v>2637</v>
      </c>
    </row>
    <row r="121" spans="1:8" x14ac:dyDescent="0.25">
      <c r="A121" s="1" t="str">
        <f>"219  "</f>
        <v xml:space="preserve">219  </v>
      </c>
      <c r="B121" s="1" t="s">
        <v>47</v>
      </c>
      <c r="C121" s="1" t="s">
        <v>48</v>
      </c>
      <c r="D121" s="1" t="s">
        <v>1959</v>
      </c>
      <c r="E121" s="1" t="s">
        <v>2644</v>
      </c>
      <c r="F121" s="1" t="str">
        <f>"48075    "</f>
        <v xml:space="preserve">48075    </v>
      </c>
      <c r="G121" s="1" t="str">
        <f>"8008379600"</f>
        <v>8008379600</v>
      </c>
      <c r="H121" s="1" t="s">
        <v>49</v>
      </c>
    </row>
    <row r="122" spans="1:8" x14ac:dyDescent="0.25">
      <c r="A122" s="1" t="str">
        <f>"220  "</f>
        <v xml:space="preserve">220  </v>
      </c>
      <c r="B122" s="1" t="s">
        <v>1971</v>
      </c>
      <c r="C122" s="1" t="s">
        <v>1972</v>
      </c>
      <c r="D122" s="1" t="s">
        <v>2397</v>
      </c>
      <c r="E122" s="1" t="s">
        <v>3118</v>
      </c>
      <c r="F122" s="1" t="str">
        <f>"011441500"</f>
        <v>011441500</v>
      </c>
      <c r="G122" s="1" t="str">
        <f>"8003102835"</f>
        <v>8003102835</v>
      </c>
      <c r="H122" s="1" t="s">
        <v>2648</v>
      </c>
    </row>
    <row r="123" spans="1:8" x14ac:dyDescent="0.25">
      <c r="A123" s="1" t="str">
        <f>"221  "</f>
        <v xml:space="preserve">221  </v>
      </c>
      <c r="B123" s="1" t="s">
        <v>1930</v>
      </c>
      <c r="C123" s="1" t="s">
        <v>1931</v>
      </c>
      <c r="D123" s="1" t="s">
        <v>1932</v>
      </c>
      <c r="E123" s="1" t="s">
        <v>2821</v>
      </c>
      <c r="F123" s="1" t="str">
        <f>"08855    "</f>
        <v xml:space="preserve">08855    </v>
      </c>
      <c r="G123" s="1" t="str">
        <f>"8009926613"</f>
        <v>8009926613</v>
      </c>
      <c r="H123" s="1" t="s">
        <v>2688</v>
      </c>
    </row>
    <row r="124" spans="1:8" x14ac:dyDescent="0.25">
      <c r="A124" s="1" t="str">
        <f>"222  "</f>
        <v xml:space="preserve">222  </v>
      </c>
      <c r="B124" s="1" t="s">
        <v>2567</v>
      </c>
      <c r="C124" s="1" t="s">
        <v>2568</v>
      </c>
      <c r="D124" s="1" t="s">
        <v>2673</v>
      </c>
      <c r="E124" s="1" t="s">
        <v>2674</v>
      </c>
      <c r="F124" s="1" t="str">
        <f>"84107    "</f>
        <v xml:space="preserve">84107    </v>
      </c>
      <c r="G124" s="1" t="str">
        <f>"8009523455"</f>
        <v>8009523455</v>
      </c>
      <c r="H124" s="1" t="s">
        <v>2637</v>
      </c>
    </row>
    <row r="125" spans="1:8" x14ac:dyDescent="0.25">
      <c r="A125" s="1" t="str">
        <f>"223  "</f>
        <v xml:space="preserve">223  </v>
      </c>
      <c r="B125" s="1" t="s">
        <v>2552</v>
      </c>
      <c r="C125" s="1" t="s">
        <v>2553</v>
      </c>
      <c r="D125" s="1" t="s">
        <v>2036</v>
      </c>
      <c r="E125" s="1" t="s">
        <v>2677</v>
      </c>
      <c r="F125" s="1" t="str">
        <f>"27114    "</f>
        <v xml:space="preserve">27114    </v>
      </c>
      <c r="G125" s="1" t="str">
        <f>"8008247406"</f>
        <v>8008247406</v>
      </c>
      <c r="H125" s="1" t="s">
        <v>2688</v>
      </c>
    </row>
    <row r="126" spans="1:8" x14ac:dyDescent="0.25">
      <c r="A126" s="1" t="str">
        <f>"224  "</f>
        <v xml:space="preserve">224  </v>
      </c>
      <c r="B126" s="1" t="s">
        <v>2084</v>
      </c>
      <c r="C126" s="1" t="str">
        <f>"3928 VOLUNTEER DRIVE                              "</f>
        <v xml:space="preserve">3928 VOLUNTEER DRIVE                              </v>
      </c>
      <c r="D126" s="1" t="s">
        <v>3045</v>
      </c>
      <c r="E126" s="1" t="s">
        <v>2970</v>
      </c>
      <c r="F126" s="1" t="str">
        <f>"37416    "</f>
        <v xml:space="preserve">37416    </v>
      </c>
      <c r="G126" s="1" t="str">
        <f>"4238992593"</f>
        <v>4238992593</v>
      </c>
      <c r="H126" s="1" t="s">
        <v>2637</v>
      </c>
    </row>
    <row r="127" spans="1:8" x14ac:dyDescent="0.25">
      <c r="A127" s="1" t="str">
        <f>"225  "</f>
        <v xml:space="preserve">225  </v>
      </c>
      <c r="B127" s="1" t="s">
        <v>2106</v>
      </c>
      <c r="C127" s="1" t="s">
        <v>2107</v>
      </c>
      <c r="D127" s="1" t="s">
        <v>2108</v>
      </c>
      <c r="E127" s="1" t="s">
        <v>2663</v>
      </c>
      <c r="F127" s="1" t="str">
        <f>"94551    "</f>
        <v xml:space="preserve">94551    </v>
      </c>
      <c r="G127" s="1" t="str">
        <f>"5104497070"</f>
        <v>5104497070</v>
      </c>
      <c r="H127" s="1" t="s">
        <v>2637</v>
      </c>
    </row>
    <row r="128" spans="1:8" x14ac:dyDescent="0.25">
      <c r="A128" s="1" t="str">
        <f>"226  "</f>
        <v xml:space="preserve">226  </v>
      </c>
      <c r="B128" s="1" t="s">
        <v>1349</v>
      </c>
      <c r="C128" s="1" t="s">
        <v>1350</v>
      </c>
      <c r="D128" s="1" t="s">
        <v>3203</v>
      </c>
      <c r="E128" s="1" t="s">
        <v>2681</v>
      </c>
      <c r="F128" s="1" t="str">
        <f>"303919123"</f>
        <v>303919123</v>
      </c>
      <c r="G128" s="1" t="str">
        <f>"7068635955"</f>
        <v>7068635955</v>
      </c>
      <c r="H128" s="1" t="s">
        <v>2637</v>
      </c>
    </row>
    <row r="129" spans="1:8" x14ac:dyDescent="0.25">
      <c r="A129" s="1" t="str">
        <f>"227  "</f>
        <v xml:space="preserve">227  </v>
      </c>
      <c r="B129" s="1" t="s">
        <v>3064</v>
      </c>
      <c r="C129" s="1" t="str">
        <f>"1111 N CHARLES STREET                             "</f>
        <v xml:space="preserve">1111 N CHARLES STREET                             </v>
      </c>
      <c r="D129" s="1" t="s">
        <v>2652</v>
      </c>
      <c r="E129" s="1" t="s">
        <v>2647</v>
      </c>
      <c r="F129" s="1" t="str">
        <f>"20201    "</f>
        <v xml:space="preserve">20201    </v>
      </c>
      <c r="G129" s="1" t="str">
        <f>"8007529797"</f>
        <v>8007529797</v>
      </c>
      <c r="H129" s="1" t="s">
        <v>2637</v>
      </c>
    </row>
    <row r="130" spans="1:8" x14ac:dyDescent="0.25">
      <c r="A130" s="1" t="str">
        <f>"228  "</f>
        <v xml:space="preserve">228  </v>
      </c>
      <c r="B130" s="1" t="s">
        <v>1265</v>
      </c>
      <c r="C130" s="1" t="s">
        <v>1266</v>
      </c>
      <c r="D130" s="1" t="s">
        <v>3166</v>
      </c>
      <c r="E130" s="1" t="s">
        <v>2667</v>
      </c>
      <c r="F130" s="1" t="str">
        <f>"53209    "</f>
        <v xml:space="preserve">53209    </v>
      </c>
      <c r="G130" s="1" t="str">
        <f>"8005455015"</f>
        <v>8005455015</v>
      </c>
      <c r="H130" s="1" t="s">
        <v>2648</v>
      </c>
    </row>
    <row r="131" spans="1:8" x14ac:dyDescent="0.25">
      <c r="A131" s="1" t="str">
        <f>"229  "</f>
        <v xml:space="preserve">229  </v>
      </c>
      <c r="B131" s="1" t="s">
        <v>2873</v>
      </c>
      <c r="C131" s="1" t="str">
        <f>"1016 COLLIER CENTER WAY STE. 200                  "</f>
        <v xml:space="preserve">1016 COLLIER CENTER WAY STE. 200                  </v>
      </c>
      <c r="D131" s="1" t="s">
        <v>2874</v>
      </c>
      <c r="E131" s="1" t="s">
        <v>2663</v>
      </c>
      <c r="F131" s="1" t="str">
        <f>"90080    "</f>
        <v xml:space="preserve">90080    </v>
      </c>
      <c r="G131" s="1" t="str">
        <f>"8004212342"</f>
        <v>8004212342</v>
      </c>
      <c r="H131" s="1" t="s">
        <v>2688</v>
      </c>
    </row>
    <row r="132" spans="1:8" x14ac:dyDescent="0.25">
      <c r="A132" s="1" t="str">
        <f>"230  "</f>
        <v xml:space="preserve">230  </v>
      </c>
      <c r="B132" s="1" t="s">
        <v>441</v>
      </c>
      <c r="C132" s="1" t="s">
        <v>442</v>
      </c>
      <c r="D132" s="1" t="s">
        <v>3095</v>
      </c>
      <c r="E132" s="1" t="s">
        <v>2749</v>
      </c>
      <c r="F132" s="1" t="str">
        <f>"66201    "</f>
        <v xml:space="preserve">66201    </v>
      </c>
      <c r="G132" s="1" t="str">
        <f>"8004440321"</f>
        <v>8004440321</v>
      </c>
      <c r="H132" s="1" t="s">
        <v>2637</v>
      </c>
    </row>
    <row r="133" spans="1:8" x14ac:dyDescent="0.25">
      <c r="A133" s="1" t="str">
        <f>"231  "</f>
        <v xml:space="preserve">231  </v>
      </c>
      <c r="B133" s="1" t="s">
        <v>970</v>
      </c>
      <c r="C133" s="1" t="str">
        <f>"8064 NORTH POINT BLVD SUITE 201                   "</f>
        <v xml:space="preserve">8064 NORTH POINT BLVD SUITE 201                   </v>
      </c>
      <c r="D133" s="1" t="s">
        <v>2036</v>
      </c>
      <c r="E133" s="1" t="s">
        <v>2677</v>
      </c>
      <c r="F133" s="1" t="str">
        <f>"27106    "</f>
        <v xml:space="preserve">27106    </v>
      </c>
      <c r="G133" s="1" t="str">
        <f>"8006420483"</f>
        <v>8006420483</v>
      </c>
      <c r="H133" s="1" t="s">
        <v>2637</v>
      </c>
    </row>
    <row r="134" spans="1:8" x14ac:dyDescent="0.25">
      <c r="A134" s="1" t="str">
        <f>"232  "</f>
        <v xml:space="preserve">232  </v>
      </c>
      <c r="B134" s="1" t="s">
        <v>685</v>
      </c>
      <c r="C134" s="1" t="s">
        <v>686</v>
      </c>
      <c r="D134" s="1" t="s">
        <v>1532</v>
      </c>
      <c r="E134" s="1" t="s">
        <v>2681</v>
      </c>
      <c r="F134" s="1" t="str">
        <f>"30366    "</f>
        <v xml:space="preserve">30366    </v>
      </c>
      <c r="G134" s="1" t="str">
        <f>"4044579555"</f>
        <v>4044579555</v>
      </c>
      <c r="H134" s="1" t="s">
        <v>2688</v>
      </c>
    </row>
    <row r="135" spans="1:8" x14ac:dyDescent="0.25">
      <c r="A135" s="1" t="str">
        <f>"233  "</f>
        <v xml:space="preserve">233  </v>
      </c>
      <c r="B135" s="1" t="s">
        <v>2855</v>
      </c>
      <c r="C135" s="1" t="s">
        <v>2856</v>
      </c>
      <c r="D135" s="1" t="s">
        <v>2857</v>
      </c>
      <c r="E135" s="1" t="s">
        <v>2858</v>
      </c>
      <c r="F135" s="1" t="str">
        <f>"98227    "</f>
        <v xml:space="preserve">98227    </v>
      </c>
      <c r="G135" s="1" t="str">
        <f>"8006880010"</f>
        <v>8006880010</v>
      </c>
      <c r="H135" s="1" t="s">
        <v>2637</v>
      </c>
    </row>
    <row r="136" spans="1:8" x14ac:dyDescent="0.25">
      <c r="A136" s="1" t="str">
        <f>"234  "</f>
        <v xml:space="preserve">234  </v>
      </c>
      <c r="B136" s="1" t="s">
        <v>1627</v>
      </c>
      <c r="C136" s="1" t="s">
        <v>1628</v>
      </c>
      <c r="D136" s="1" t="s">
        <v>2730</v>
      </c>
      <c r="E136" s="1" t="s">
        <v>2731</v>
      </c>
      <c r="F136" s="1" t="str">
        <f>"70898    "</f>
        <v xml:space="preserve">70898    </v>
      </c>
      <c r="G136" s="1" t="str">
        <f>"8887295433"</f>
        <v>8887295433</v>
      </c>
      <c r="H136" s="1" t="s">
        <v>1629</v>
      </c>
    </row>
    <row r="137" spans="1:8" x14ac:dyDescent="0.25">
      <c r="A137" s="1" t="str">
        <f>"235  "</f>
        <v xml:space="preserve">235  </v>
      </c>
      <c r="B137" s="1" t="s">
        <v>1926</v>
      </c>
      <c r="C137" s="1" t="s">
        <v>3251</v>
      </c>
      <c r="D137" s="1" t="s">
        <v>1927</v>
      </c>
      <c r="E137" s="1" t="s">
        <v>2681</v>
      </c>
      <c r="F137" s="1" t="str">
        <f>"30722    "</f>
        <v xml:space="preserve">30722    </v>
      </c>
      <c r="G137" s="1" t="str">
        <f>"8003211855"</f>
        <v>8003211855</v>
      </c>
      <c r="H137" s="1" t="s">
        <v>2637</v>
      </c>
    </row>
    <row r="138" spans="1:8" x14ac:dyDescent="0.25">
      <c r="A138" s="1" t="str">
        <f>"236  "</f>
        <v xml:space="preserve">236  </v>
      </c>
      <c r="B138" s="1" t="s">
        <v>475</v>
      </c>
      <c r="C138" s="1" t="str">
        <f>"1275 MILWAUKEE AVENUE                             "</f>
        <v xml:space="preserve">1275 MILWAUKEE AVENUE                             </v>
      </c>
      <c r="D138" s="1" t="s">
        <v>476</v>
      </c>
      <c r="E138" s="1" t="s">
        <v>2786</v>
      </c>
      <c r="F138" s="1" t="s">
        <v>2637</v>
      </c>
      <c r="G138" s="1" t="str">
        <f>"8476990600"</f>
        <v>8476990600</v>
      </c>
      <c r="H138" s="1" t="s">
        <v>2637</v>
      </c>
    </row>
    <row r="139" spans="1:8" x14ac:dyDescent="0.25">
      <c r="A139" s="1" t="str">
        <f>"237  "</f>
        <v xml:space="preserve">237  </v>
      </c>
      <c r="B139" s="1" t="s">
        <v>2664</v>
      </c>
      <c r="C139" s="1" t="s">
        <v>2665</v>
      </c>
      <c r="D139" s="1" t="s">
        <v>2666</v>
      </c>
      <c r="E139" s="1" t="s">
        <v>2667</v>
      </c>
      <c r="F139" s="1" t="str">
        <f>"54913    "</f>
        <v xml:space="preserve">54913    </v>
      </c>
      <c r="G139" s="1" t="str">
        <f>"8008734542"</f>
        <v>8008734542</v>
      </c>
      <c r="H139" s="1" t="s">
        <v>2637</v>
      </c>
    </row>
    <row r="140" spans="1:8" x14ac:dyDescent="0.25">
      <c r="A140" s="1" t="str">
        <f>"238  "</f>
        <v xml:space="preserve">238  </v>
      </c>
      <c r="B140" s="1" t="s">
        <v>1656</v>
      </c>
      <c r="C140" s="1" t="s">
        <v>1657</v>
      </c>
      <c r="D140" s="1" t="s">
        <v>1658</v>
      </c>
      <c r="E140" s="1" t="s">
        <v>2821</v>
      </c>
      <c r="F140" s="1" t="str">
        <f>"08628    "</f>
        <v xml:space="preserve">08628    </v>
      </c>
      <c r="G140" s="1" t="str">
        <f>"8007923666"</f>
        <v>8007923666</v>
      </c>
      <c r="H140" s="1" t="s">
        <v>2637</v>
      </c>
    </row>
    <row r="141" spans="1:8" x14ac:dyDescent="0.25">
      <c r="A141" s="1" t="str">
        <f>"239  "</f>
        <v xml:space="preserve">239  </v>
      </c>
      <c r="B141" s="1" t="s">
        <v>2407</v>
      </c>
      <c r="C141" s="1" t="str">
        <f>"1 HORACE MANN PLAZA                               "</f>
        <v xml:space="preserve">1 HORACE MANN PLAZA                               </v>
      </c>
      <c r="D141" s="1" t="s">
        <v>2397</v>
      </c>
      <c r="E141" s="1" t="s">
        <v>2786</v>
      </c>
      <c r="F141" s="1" t="str">
        <f>"62715    "</f>
        <v xml:space="preserve">62715    </v>
      </c>
      <c r="G141" s="1" t="str">
        <f>"2177892500"</f>
        <v>2177892500</v>
      </c>
      <c r="H141" s="1" t="s">
        <v>2637</v>
      </c>
    </row>
    <row r="142" spans="1:8" x14ac:dyDescent="0.25">
      <c r="A142" s="1" t="str">
        <f>"240  "</f>
        <v xml:space="preserve">240  </v>
      </c>
      <c r="B142" s="1" t="s">
        <v>1647</v>
      </c>
      <c r="C142" s="1" t="s">
        <v>1648</v>
      </c>
      <c r="D142" s="1" t="s">
        <v>2808</v>
      </c>
      <c r="E142" s="1" t="s">
        <v>2809</v>
      </c>
      <c r="F142" s="1" t="str">
        <f>"85078    "</f>
        <v xml:space="preserve">85078    </v>
      </c>
      <c r="G142" s="1" t="str">
        <f>"8003085948"</f>
        <v>8003085948</v>
      </c>
      <c r="H142" s="1" t="s">
        <v>2637</v>
      </c>
    </row>
    <row r="143" spans="1:8" x14ac:dyDescent="0.25">
      <c r="A143" s="1" t="str">
        <f>"241  "</f>
        <v xml:space="preserve">241  </v>
      </c>
      <c r="B143" s="1" t="s">
        <v>2579</v>
      </c>
      <c r="C143" s="1" t="s">
        <v>2580</v>
      </c>
      <c r="D143" s="1" t="s">
        <v>2985</v>
      </c>
      <c r="E143" s="1" t="s">
        <v>2636</v>
      </c>
      <c r="F143" s="1" t="str">
        <f>"78279    "</f>
        <v xml:space="preserve">78279    </v>
      </c>
      <c r="G143" s="1" t="str">
        <f>"8002291024"</f>
        <v>8002291024</v>
      </c>
      <c r="H143" s="1" t="s">
        <v>2637</v>
      </c>
    </row>
    <row r="144" spans="1:8" x14ac:dyDescent="0.25">
      <c r="A144" s="1" t="str">
        <f>"242  "</f>
        <v xml:space="preserve">242  </v>
      </c>
      <c r="B144" s="1" t="s">
        <v>1680</v>
      </c>
      <c r="C144" s="1" t="str">
        <f>"8228 MAYFIELD RD. STE 5B                          "</f>
        <v xml:space="preserve">8228 MAYFIELD RD. STE 5B                          </v>
      </c>
      <c r="D144" s="1" t="s">
        <v>1681</v>
      </c>
      <c r="E144" s="1" t="s">
        <v>2714</v>
      </c>
      <c r="F144" s="1" t="str">
        <f>"44026    "</f>
        <v xml:space="preserve">44026    </v>
      </c>
      <c r="G144" s="1" t="str">
        <f>"4405272955"</f>
        <v>4405272955</v>
      </c>
      <c r="H144" s="1" t="s">
        <v>2735</v>
      </c>
    </row>
    <row r="145" spans="1:8" x14ac:dyDescent="0.25">
      <c r="A145" s="1" t="str">
        <f>"243  "</f>
        <v xml:space="preserve">243  </v>
      </c>
      <c r="B145" s="1" t="s">
        <v>1363</v>
      </c>
      <c r="C145" s="1" t="s">
        <v>1364</v>
      </c>
      <c r="D145" s="1" t="s">
        <v>3157</v>
      </c>
      <c r="E145" s="1" t="s">
        <v>2970</v>
      </c>
      <c r="F145" s="1" t="str">
        <f>"37250    "</f>
        <v xml:space="preserve">37250    </v>
      </c>
      <c r="G145" s="1" t="str">
        <f>"6157491000"</f>
        <v>6157491000</v>
      </c>
      <c r="H145" s="1" t="s">
        <v>2637</v>
      </c>
    </row>
    <row r="146" spans="1:8" x14ac:dyDescent="0.25">
      <c r="A146" s="1" t="str">
        <f>"244  "</f>
        <v xml:space="preserve">244  </v>
      </c>
      <c r="B146" s="1" t="s">
        <v>1827</v>
      </c>
      <c r="C146" s="1" t="s">
        <v>1828</v>
      </c>
      <c r="D146" s="1" t="s">
        <v>3074</v>
      </c>
      <c r="E146" s="1" t="s">
        <v>2832</v>
      </c>
      <c r="F146" s="1" t="str">
        <f>"337578844"</f>
        <v>337578844</v>
      </c>
      <c r="G146" s="1" t="str">
        <f>"8776045240"</f>
        <v>8776045240</v>
      </c>
      <c r="H146" s="1" t="s">
        <v>2637</v>
      </c>
    </row>
    <row r="147" spans="1:8" x14ac:dyDescent="0.25">
      <c r="A147" s="1" t="str">
        <f>"245  "</f>
        <v xml:space="preserve">245  </v>
      </c>
      <c r="B147" s="1" t="s">
        <v>1590</v>
      </c>
      <c r="C147" s="1" t="s">
        <v>1591</v>
      </c>
      <c r="D147" s="1" t="s">
        <v>2791</v>
      </c>
      <c r="E147" s="1" t="s">
        <v>2744</v>
      </c>
      <c r="F147" s="1" t="str">
        <f>"40742    "</f>
        <v xml:space="preserve">40742    </v>
      </c>
      <c r="G147" s="1" t="str">
        <f>"8009357284"</f>
        <v>8009357284</v>
      </c>
      <c r="H147" s="1" t="s">
        <v>2637</v>
      </c>
    </row>
    <row r="148" spans="1:8" x14ac:dyDescent="0.25">
      <c r="A148" s="1" t="str">
        <f>"246  "</f>
        <v xml:space="preserve">246  </v>
      </c>
      <c r="B148" s="1" t="s">
        <v>796</v>
      </c>
      <c r="C148" s="1" t="s">
        <v>797</v>
      </c>
      <c r="D148" s="1" t="s">
        <v>2791</v>
      </c>
      <c r="E148" s="1" t="s">
        <v>2744</v>
      </c>
      <c r="F148" s="1" t="str">
        <f>"40742    "</f>
        <v xml:space="preserve">40742    </v>
      </c>
      <c r="G148" s="1" t="str">
        <f>"8009476824"</f>
        <v>8009476824</v>
      </c>
      <c r="H148" s="1" t="s">
        <v>2637</v>
      </c>
    </row>
    <row r="149" spans="1:8" x14ac:dyDescent="0.25">
      <c r="A149" s="1" t="str">
        <f>"247  "</f>
        <v xml:space="preserve">247  </v>
      </c>
      <c r="B149" s="1" t="s">
        <v>2182</v>
      </c>
      <c r="C149" s="1" t="str">
        <f>"5050 SPRING VALLEY ROAD                           "</f>
        <v xml:space="preserve">5050 SPRING VALLEY ROAD                           </v>
      </c>
      <c r="D149" s="1" t="s">
        <v>2871</v>
      </c>
      <c r="E149" s="1" t="s">
        <v>2636</v>
      </c>
      <c r="F149" s="1" t="str">
        <f>"752443909"</f>
        <v>752443909</v>
      </c>
      <c r="G149" s="1" t="str">
        <f>"8008729934"</f>
        <v>8008729934</v>
      </c>
      <c r="H149" s="1" t="s">
        <v>2183</v>
      </c>
    </row>
    <row r="150" spans="1:8" x14ac:dyDescent="0.25">
      <c r="A150" s="1" t="str">
        <f>"248  "</f>
        <v xml:space="preserve">248  </v>
      </c>
      <c r="B150" s="1" t="s">
        <v>1257</v>
      </c>
      <c r="C150" s="1" t="str">
        <f>"25145 COUNTRY CLUB BLVD                           "</f>
        <v xml:space="preserve">25145 COUNTRY CLUB BLVD                           </v>
      </c>
      <c r="D150" s="1" t="s">
        <v>1258</v>
      </c>
      <c r="E150" s="1" t="s">
        <v>2714</v>
      </c>
      <c r="F150" s="1" t="str">
        <f>"440705300"</f>
        <v>440705300</v>
      </c>
      <c r="G150" s="1" t="str">
        <f>"8002558063"</f>
        <v>8002558063</v>
      </c>
      <c r="H150" s="1" t="s">
        <v>2637</v>
      </c>
    </row>
    <row r="151" spans="1:8" x14ac:dyDescent="0.25">
      <c r="A151" s="1" t="str">
        <f>"249  "</f>
        <v xml:space="preserve">249  </v>
      </c>
      <c r="B151" s="1" t="s">
        <v>1450</v>
      </c>
      <c r="C151" s="1" t="s">
        <v>1451</v>
      </c>
      <c r="D151" s="1" t="s">
        <v>1452</v>
      </c>
      <c r="E151" s="1" t="s">
        <v>2809</v>
      </c>
      <c r="F151" s="1" t="str">
        <f>"85735    "</f>
        <v xml:space="preserve">85735    </v>
      </c>
      <c r="G151" s="1" t="str">
        <f>"8005544954"</f>
        <v>8005544954</v>
      </c>
      <c r="H151" s="1" t="s">
        <v>2648</v>
      </c>
    </row>
    <row r="152" spans="1:8" x14ac:dyDescent="0.25">
      <c r="A152" s="1" t="str">
        <f>"250  "</f>
        <v xml:space="preserve">250  </v>
      </c>
      <c r="B152" s="1" t="s">
        <v>233</v>
      </c>
      <c r="C152" s="1" t="str">
        <f>"144 METRO CENTER BLVD                             "</f>
        <v xml:space="preserve">144 METRO CENTER BLVD                             </v>
      </c>
      <c r="D152" s="1" t="s">
        <v>234</v>
      </c>
      <c r="E152" s="1" t="s">
        <v>2764</v>
      </c>
      <c r="F152" s="1" t="str">
        <f>"02886    "</f>
        <v xml:space="preserve">02886    </v>
      </c>
      <c r="G152" s="1" t="str">
        <f>"8007176614"</f>
        <v>8007176614</v>
      </c>
      <c r="H152" s="1" t="s">
        <v>2637</v>
      </c>
    </row>
    <row r="153" spans="1:8" x14ac:dyDescent="0.25">
      <c r="A153" s="1" t="str">
        <f>"251  "</f>
        <v xml:space="preserve">251  </v>
      </c>
      <c r="B153" s="1" t="s">
        <v>1829</v>
      </c>
      <c r="C153" s="1" t="s">
        <v>1830</v>
      </c>
      <c r="D153" s="1" t="s">
        <v>3188</v>
      </c>
      <c r="E153" s="1" t="s">
        <v>2832</v>
      </c>
      <c r="F153" s="1" t="str">
        <f>"325912922"</f>
        <v>325912922</v>
      </c>
      <c r="G153" s="1" t="str">
        <f>"8006581413"</f>
        <v>8006581413</v>
      </c>
      <c r="H153" s="1" t="s">
        <v>1831</v>
      </c>
    </row>
    <row r="154" spans="1:8" x14ac:dyDescent="0.25">
      <c r="A154" s="1" t="str">
        <f>"252  "</f>
        <v xml:space="preserve">252  </v>
      </c>
      <c r="B154" s="1" t="s">
        <v>1541</v>
      </c>
      <c r="C154" s="1" t="str">
        <f>"57 STREET RD                                      "</f>
        <v xml:space="preserve">57 STREET RD                                      </v>
      </c>
      <c r="D154" s="1" t="s">
        <v>1542</v>
      </c>
      <c r="E154" s="1" t="s">
        <v>2697</v>
      </c>
      <c r="F154" s="1" t="str">
        <f>"18966    "</f>
        <v xml:space="preserve">18966    </v>
      </c>
      <c r="G154" s="1" t="str">
        <f>"8007271733"</f>
        <v>8007271733</v>
      </c>
      <c r="H154" s="1" t="s">
        <v>2637</v>
      </c>
    </row>
    <row r="155" spans="1:8" x14ac:dyDescent="0.25">
      <c r="A155" s="1" t="str">
        <f>"253  "</f>
        <v xml:space="preserve">253  </v>
      </c>
      <c r="B155" s="1" t="s">
        <v>3020</v>
      </c>
      <c r="C155" s="1" t="s">
        <v>3021</v>
      </c>
      <c r="D155" s="1" t="s">
        <v>2748</v>
      </c>
      <c r="E155" s="1" t="s">
        <v>2749</v>
      </c>
      <c r="F155" s="1" t="str">
        <f>"66225    "</f>
        <v xml:space="preserve">66225    </v>
      </c>
      <c r="G155" s="1" t="str">
        <f>"8772926037"</f>
        <v>8772926037</v>
      </c>
      <c r="H155" s="1" t="s">
        <v>2637</v>
      </c>
    </row>
    <row r="156" spans="1:8" x14ac:dyDescent="0.25">
      <c r="A156" s="1" t="str">
        <f>"254  "</f>
        <v xml:space="preserve">254  </v>
      </c>
      <c r="B156" s="1" t="s">
        <v>2661</v>
      </c>
      <c r="C156" s="1" t="str">
        <f>"700 NEWPORT CENTER DRIVE                          "</f>
        <v xml:space="preserve">700 NEWPORT CENTER DRIVE                          </v>
      </c>
      <c r="D156" s="1" t="s">
        <v>2662</v>
      </c>
      <c r="E156" s="1" t="s">
        <v>2663</v>
      </c>
      <c r="F156" s="1" t="str">
        <f>"92660    "</f>
        <v xml:space="preserve">92660    </v>
      </c>
      <c r="G156" s="1" t="str">
        <f>"8004512513"</f>
        <v>8004512513</v>
      </c>
      <c r="H156" s="1" t="s">
        <v>2637</v>
      </c>
    </row>
    <row r="157" spans="1:8" x14ac:dyDescent="0.25">
      <c r="A157" s="1" t="str">
        <f>"255  "</f>
        <v xml:space="preserve">255  </v>
      </c>
      <c r="B157" s="1" t="s">
        <v>1749</v>
      </c>
      <c r="C157" s="1" t="s">
        <v>1750</v>
      </c>
      <c r="D157" s="1" t="s">
        <v>1373</v>
      </c>
      <c r="E157" s="1" t="s">
        <v>2731</v>
      </c>
      <c r="F157" s="1" t="str">
        <f>"70160    "</f>
        <v xml:space="preserve">70160    </v>
      </c>
      <c r="G157" s="1" t="str">
        <f>"5045661300"</f>
        <v>5045661300</v>
      </c>
      <c r="H157" s="1" t="s">
        <v>2637</v>
      </c>
    </row>
    <row r="158" spans="1:8" x14ac:dyDescent="0.25">
      <c r="A158" s="1" t="str">
        <f>"256  "</f>
        <v xml:space="preserve">256  </v>
      </c>
      <c r="B158" s="1" t="s">
        <v>1312</v>
      </c>
      <c r="C158" s="1" t="str">
        <f>"8310 CLINTON PARK DR                              "</f>
        <v xml:space="preserve">8310 CLINTON PARK DR                              </v>
      </c>
      <c r="D158" s="1" t="s">
        <v>1476</v>
      </c>
      <c r="E158" s="1" t="s">
        <v>2706</v>
      </c>
      <c r="F158" s="1" t="str">
        <f>"46825    "</f>
        <v xml:space="preserve">46825    </v>
      </c>
      <c r="G158" s="1" t="str">
        <f>"8008377400"</f>
        <v>8008377400</v>
      </c>
      <c r="H158" s="1" t="s">
        <v>2688</v>
      </c>
    </row>
    <row r="159" spans="1:8" x14ac:dyDescent="0.25">
      <c r="A159" s="1" t="str">
        <f>"257  "</f>
        <v xml:space="preserve">257  </v>
      </c>
      <c r="B159" s="1" t="s">
        <v>2066</v>
      </c>
      <c r="C159" s="1" t="str">
        <f>"4000 OLD WAKEFOREST RD SUITE 101                  "</f>
        <v xml:space="preserve">4000 OLD WAKEFOREST RD SUITE 101                  </v>
      </c>
      <c r="D159" s="1" t="s">
        <v>2067</v>
      </c>
      <c r="E159" s="1" t="s">
        <v>2677</v>
      </c>
      <c r="F159" s="1" t="str">
        <f>"27609    "</f>
        <v xml:space="preserve">27609    </v>
      </c>
      <c r="G159" s="1" t="str">
        <f>"8003317108"</f>
        <v>8003317108</v>
      </c>
      <c r="H159" s="1" t="s">
        <v>2068</v>
      </c>
    </row>
    <row r="160" spans="1:8" x14ac:dyDescent="0.25">
      <c r="A160" s="1" t="str">
        <f>"258  "</f>
        <v xml:space="preserve">258  </v>
      </c>
      <c r="B160" s="1" t="s">
        <v>1735</v>
      </c>
      <c r="C160" s="1" t="s">
        <v>1736</v>
      </c>
      <c r="D160" s="1" t="s">
        <v>1737</v>
      </c>
      <c r="E160" s="1" t="s">
        <v>2952</v>
      </c>
      <c r="F160" s="1" t="str">
        <f>"06447    "</f>
        <v xml:space="preserve">06447    </v>
      </c>
      <c r="G160" s="1" t="str">
        <f>"8883222524"</f>
        <v>8883222524</v>
      </c>
      <c r="H160" s="1" t="s">
        <v>2637</v>
      </c>
    </row>
    <row r="161" spans="1:8" x14ac:dyDescent="0.25">
      <c r="A161" s="1" t="str">
        <f>"259  "</f>
        <v xml:space="preserve">259  </v>
      </c>
      <c r="B161" s="1" t="s">
        <v>611</v>
      </c>
      <c r="C161" s="1" t="s">
        <v>612</v>
      </c>
      <c r="D161" s="1" t="s">
        <v>2943</v>
      </c>
      <c r="E161" s="1" t="s">
        <v>3170</v>
      </c>
      <c r="F161" s="1" t="str">
        <f>"72203    "</f>
        <v xml:space="preserve">72203    </v>
      </c>
      <c r="G161" s="1" t="str">
        <f>"8005083772"</f>
        <v>8005083772</v>
      </c>
      <c r="H161" s="1" t="s">
        <v>2637</v>
      </c>
    </row>
    <row r="162" spans="1:8" x14ac:dyDescent="0.25">
      <c r="A162" s="1" t="str">
        <f>"260  "</f>
        <v xml:space="preserve">260  </v>
      </c>
      <c r="B162" s="1" t="s">
        <v>2852</v>
      </c>
      <c r="C162" s="1" t="s">
        <v>1155</v>
      </c>
      <c r="D162" s="1" t="s">
        <v>1156</v>
      </c>
      <c r="E162" s="1" t="s">
        <v>3164</v>
      </c>
      <c r="F162" s="1" t="str">
        <f>"220388022"</f>
        <v>220388022</v>
      </c>
      <c r="G162" s="1" t="str">
        <f>"8662199292"</f>
        <v>8662199292</v>
      </c>
      <c r="H162" s="1" t="s">
        <v>2735</v>
      </c>
    </row>
    <row r="163" spans="1:8" x14ac:dyDescent="0.25">
      <c r="A163" s="1" t="str">
        <f>"261  "</f>
        <v xml:space="preserve">261  </v>
      </c>
      <c r="B163" s="1" t="s">
        <v>434</v>
      </c>
      <c r="C163" s="1" t="s">
        <v>435</v>
      </c>
      <c r="D163" s="1" t="s">
        <v>436</v>
      </c>
      <c r="E163" s="1" t="s">
        <v>2196</v>
      </c>
      <c r="F163" s="1" t="str">
        <f>"895203087"</f>
        <v>895203087</v>
      </c>
      <c r="G163" s="1" t="str">
        <f>"8003153440"</f>
        <v>8003153440</v>
      </c>
      <c r="H163" s="1" t="s">
        <v>2637</v>
      </c>
    </row>
    <row r="164" spans="1:8" x14ac:dyDescent="0.25">
      <c r="A164" s="1" t="str">
        <f>"262  "</f>
        <v xml:space="preserve">262  </v>
      </c>
      <c r="B164" s="1" t="s">
        <v>426</v>
      </c>
      <c r="C164" s="1" t="s">
        <v>427</v>
      </c>
      <c r="D164" s="1" t="s">
        <v>428</v>
      </c>
      <c r="E164" s="1" t="s">
        <v>2663</v>
      </c>
      <c r="F164" s="1" t="str">
        <f>"926906080"</f>
        <v>926906080</v>
      </c>
      <c r="G164" s="1" t="str">
        <f>"8887302244"</f>
        <v>8887302244</v>
      </c>
      <c r="H164" s="1" t="s">
        <v>2637</v>
      </c>
    </row>
    <row r="165" spans="1:8" x14ac:dyDescent="0.25">
      <c r="A165" s="1" t="str">
        <f>"263  "</f>
        <v xml:space="preserve">263  </v>
      </c>
      <c r="B165" s="1" t="s">
        <v>3018</v>
      </c>
      <c r="C165" s="1" t="str">
        <f>"110 WEST 7TH ST. SUITE 300                        "</f>
        <v xml:space="preserve">110 WEST 7TH ST. SUITE 300                        </v>
      </c>
      <c r="D165" s="1" t="s">
        <v>3019</v>
      </c>
      <c r="E165" s="1" t="s">
        <v>2636</v>
      </c>
      <c r="F165" s="1" t="str">
        <f>"76102    "</f>
        <v xml:space="preserve">76102    </v>
      </c>
      <c r="G165" s="1" t="str">
        <f>"8007251407"</f>
        <v>8007251407</v>
      </c>
      <c r="H165" s="1" t="s">
        <v>2637</v>
      </c>
    </row>
    <row r="166" spans="1:8" x14ac:dyDescent="0.25">
      <c r="A166" s="1" t="str">
        <f>"264  "</f>
        <v xml:space="preserve">264  </v>
      </c>
      <c r="B166" s="1" t="s">
        <v>3204</v>
      </c>
      <c r="C166" s="1" t="s">
        <v>3205</v>
      </c>
      <c r="D166" s="1" t="s">
        <v>2791</v>
      </c>
      <c r="E166" s="1" t="s">
        <v>2744</v>
      </c>
      <c r="F166" s="1" t="str">
        <f>"40742    "</f>
        <v xml:space="preserve">40742    </v>
      </c>
      <c r="G166" s="1" t="str">
        <f>"8007888445"</f>
        <v>8007888445</v>
      </c>
      <c r="H166" s="1" t="s">
        <v>2637</v>
      </c>
    </row>
    <row r="167" spans="1:8" x14ac:dyDescent="0.25">
      <c r="A167" s="1" t="str">
        <f>"265  "</f>
        <v xml:space="preserve">265  </v>
      </c>
      <c r="B167" s="1" t="s">
        <v>1456</v>
      </c>
      <c r="C167" s="1" t="s">
        <v>1457</v>
      </c>
      <c r="D167" s="1" t="s">
        <v>1458</v>
      </c>
      <c r="E167" s="1" t="s">
        <v>3118</v>
      </c>
      <c r="F167" s="1" t="str">
        <f>"02139    "</f>
        <v xml:space="preserve">02139    </v>
      </c>
      <c r="G167" s="1" t="str">
        <f>"8662225137"</f>
        <v>8662225137</v>
      </c>
      <c r="H167" s="1" t="s">
        <v>2795</v>
      </c>
    </row>
    <row r="168" spans="1:8" x14ac:dyDescent="0.25">
      <c r="A168" s="1" t="str">
        <f>"266  "</f>
        <v xml:space="preserve">266  </v>
      </c>
      <c r="B168" s="1" t="s">
        <v>1607</v>
      </c>
      <c r="C168" s="1" t="str">
        <f>"2570 TECHNICAL DRIVE                              "</f>
        <v xml:space="preserve">2570 TECHNICAL DRIVE                              </v>
      </c>
      <c r="D168" s="1" t="s">
        <v>1608</v>
      </c>
      <c r="E168" s="1" t="s">
        <v>2714</v>
      </c>
      <c r="F168" s="1" t="str">
        <f>"45342    "</f>
        <v xml:space="preserve">45342    </v>
      </c>
      <c r="G168" s="1" t="str">
        <f>"8002326242"</f>
        <v>8002326242</v>
      </c>
      <c r="H168" s="1" t="s">
        <v>2637</v>
      </c>
    </row>
    <row r="169" spans="1:8" x14ac:dyDescent="0.25">
      <c r="A169" s="1" t="str">
        <f>"267  "</f>
        <v xml:space="preserve">267  </v>
      </c>
      <c r="B169" s="1" t="s">
        <v>2852</v>
      </c>
      <c r="C169" s="1" t="s">
        <v>1168</v>
      </c>
      <c r="D169" s="1" t="s">
        <v>2906</v>
      </c>
      <c r="E169" s="1" t="s">
        <v>2677</v>
      </c>
      <c r="F169" s="1" t="str">
        <f>"282220887"</f>
        <v>282220887</v>
      </c>
      <c r="G169" s="1" t="str">
        <f>"7043643865"</f>
        <v>7043643865</v>
      </c>
      <c r="H169" s="1" t="s">
        <v>2688</v>
      </c>
    </row>
    <row r="170" spans="1:8" x14ac:dyDescent="0.25">
      <c r="A170" s="1" t="str">
        <f>"268  "</f>
        <v xml:space="preserve">268  </v>
      </c>
      <c r="B170" s="1" t="s">
        <v>103</v>
      </c>
      <c r="C170" s="1" t="s">
        <v>2216</v>
      </c>
      <c r="D170" s="1" t="s">
        <v>3188</v>
      </c>
      <c r="E170" s="1" t="s">
        <v>2832</v>
      </c>
      <c r="F170" s="1" t="str">
        <f>"32591    "</f>
        <v xml:space="preserve">32591    </v>
      </c>
      <c r="G170" s="1" t="str">
        <f>"8009348203"</f>
        <v>8009348203</v>
      </c>
      <c r="H170" s="1" t="s">
        <v>2637</v>
      </c>
    </row>
    <row r="171" spans="1:8" x14ac:dyDescent="0.25">
      <c r="A171" s="1" t="str">
        <f>"269  "</f>
        <v xml:space="preserve">269  </v>
      </c>
      <c r="B171" s="1" t="s">
        <v>2746</v>
      </c>
      <c r="C171" s="1" t="s">
        <v>2747</v>
      </c>
      <c r="D171" s="1" t="s">
        <v>2748</v>
      </c>
      <c r="E171" s="1" t="s">
        <v>2749</v>
      </c>
      <c r="F171" s="1" t="str">
        <f>"66212    "</f>
        <v xml:space="preserve">66212    </v>
      </c>
      <c r="G171" s="1" t="str">
        <f>"8002556065"</f>
        <v>8002556065</v>
      </c>
      <c r="H171" s="1" t="s">
        <v>2637</v>
      </c>
    </row>
    <row r="172" spans="1:8" x14ac:dyDescent="0.25">
      <c r="A172" s="1" t="str">
        <f>"270  "</f>
        <v xml:space="preserve">270  </v>
      </c>
      <c r="B172" s="1" t="s">
        <v>2960</v>
      </c>
      <c r="C172" s="1" t="s">
        <v>2961</v>
      </c>
      <c r="D172" s="1" t="s">
        <v>2906</v>
      </c>
      <c r="E172" s="1" t="s">
        <v>2677</v>
      </c>
      <c r="F172" s="1" t="str">
        <f>"28222    "</f>
        <v xml:space="preserve">28222    </v>
      </c>
      <c r="G172" s="1" t="str">
        <f>"8666360239"</f>
        <v>8666360239</v>
      </c>
      <c r="H172" s="1" t="s">
        <v>2637</v>
      </c>
    </row>
    <row r="173" spans="1:8" x14ac:dyDescent="0.25">
      <c r="A173" s="1" t="str">
        <f>"271  "</f>
        <v xml:space="preserve">271  </v>
      </c>
      <c r="B173" s="1" t="s">
        <v>2833</v>
      </c>
      <c r="C173" s="1" t="str">
        <f>"22OO-B ROSSELLE STREET                            "</f>
        <v xml:space="preserve">22OO-B ROSSELLE STREET                            </v>
      </c>
      <c r="D173" s="1" t="s">
        <v>2834</v>
      </c>
      <c r="E173" s="1" t="s">
        <v>2832</v>
      </c>
      <c r="F173" s="1" t="str">
        <f>"32204    "</f>
        <v xml:space="preserve">32204    </v>
      </c>
      <c r="G173" s="1" t="str">
        <f>"8004685126"</f>
        <v>8004685126</v>
      </c>
      <c r="H173" s="1" t="s">
        <v>2637</v>
      </c>
    </row>
    <row r="174" spans="1:8" x14ac:dyDescent="0.25">
      <c r="A174" s="1" t="str">
        <f>"272  "</f>
        <v xml:space="preserve">272  </v>
      </c>
      <c r="B174" s="1" t="s">
        <v>419</v>
      </c>
      <c r="C174" s="1" t="s">
        <v>420</v>
      </c>
      <c r="D174" s="1" t="s">
        <v>2755</v>
      </c>
      <c r="E174" s="1" t="s">
        <v>2647</v>
      </c>
      <c r="F174" s="1" t="str">
        <f>"20850    "</f>
        <v xml:space="preserve">20850    </v>
      </c>
      <c r="G174" s="1" t="str">
        <f>"8003423289"</f>
        <v>8003423289</v>
      </c>
      <c r="H174" s="1" t="s">
        <v>2637</v>
      </c>
    </row>
    <row r="175" spans="1:8" x14ac:dyDescent="0.25">
      <c r="A175" s="1" t="str">
        <f>"273  "</f>
        <v xml:space="preserve">273  </v>
      </c>
      <c r="B175" s="1" t="s">
        <v>417</v>
      </c>
      <c r="C175" s="1" t="s">
        <v>418</v>
      </c>
      <c r="D175" s="1" t="s">
        <v>2871</v>
      </c>
      <c r="E175" s="1" t="s">
        <v>2636</v>
      </c>
      <c r="F175" s="1" t="str">
        <f>"85261    "</f>
        <v xml:space="preserve">85261    </v>
      </c>
      <c r="G175" s="1" t="str">
        <f>"8007725924"</f>
        <v>8007725924</v>
      </c>
      <c r="H175" s="1" t="s">
        <v>2688</v>
      </c>
    </row>
    <row r="176" spans="1:8" x14ac:dyDescent="0.25">
      <c r="A176" s="1" t="str">
        <f>"274  "</f>
        <v xml:space="preserve">274  </v>
      </c>
      <c r="B176" s="1" t="s">
        <v>1322</v>
      </c>
      <c r="C176" s="1" t="s">
        <v>1323</v>
      </c>
      <c r="D176" s="1" t="s">
        <v>2627</v>
      </c>
      <c r="E176" s="1" t="s">
        <v>2773</v>
      </c>
      <c r="F176" s="1" t="str">
        <f>"122066602"</f>
        <v>122066602</v>
      </c>
      <c r="G176" s="1" t="str">
        <f>"8009267526"</f>
        <v>8009267526</v>
      </c>
      <c r="H176" s="1" t="s">
        <v>2637</v>
      </c>
    </row>
    <row r="177" spans="1:8" x14ac:dyDescent="0.25">
      <c r="A177" s="1" t="str">
        <f>"275  "</f>
        <v xml:space="preserve">275  </v>
      </c>
      <c r="B177" s="1" t="s">
        <v>93</v>
      </c>
      <c r="C177" s="1" t="s">
        <v>94</v>
      </c>
      <c r="D177" s="1" t="s">
        <v>3095</v>
      </c>
      <c r="E177" s="1" t="s">
        <v>2749</v>
      </c>
      <c r="F177" s="1" t="str">
        <f>"66201    "</f>
        <v xml:space="preserve">66201    </v>
      </c>
      <c r="G177" s="1" t="str">
        <f>"9134514900"</f>
        <v>9134514900</v>
      </c>
      <c r="H177" s="1" t="s">
        <v>2637</v>
      </c>
    </row>
    <row r="178" spans="1:8" x14ac:dyDescent="0.25">
      <c r="A178" s="1" t="str">
        <f>"276  "</f>
        <v xml:space="preserve">276  </v>
      </c>
      <c r="B178" s="1" t="s">
        <v>2514</v>
      </c>
      <c r="C178" s="1" t="str">
        <f>"930 CANTERBURY PLACE                              "</f>
        <v xml:space="preserve">930 CANTERBURY PLACE                              </v>
      </c>
      <c r="D178" s="1" t="s">
        <v>2515</v>
      </c>
      <c r="E178" s="1" t="s">
        <v>2663</v>
      </c>
      <c r="F178" s="1" t="str">
        <f>"92025    "</f>
        <v xml:space="preserve">92025    </v>
      </c>
      <c r="G178" s="1" t="str">
        <f>"8005385512"</f>
        <v>8005385512</v>
      </c>
      <c r="H178" s="1" t="s">
        <v>2637</v>
      </c>
    </row>
    <row r="179" spans="1:8" x14ac:dyDescent="0.25">
      <c r="A179" s="1" t="str">
        <f>"277  "</f>
        <v xml:space="preserve">277  </v>
      </c>
      <c r="B179" s="1" t="s">
        <v>1052</v>
      </c>
      <c r="C179" s="1" t="s">
        <v>1053</v>
      </c>
      <c r="D179" s="1" t="s">
        <v>1054</v>
      </c>
      <c r="E179" s="1" t="s">
        <v>2636</v>
      </c>
      <c r="F179" s="1" t="str">
        <f>"750708080"</f>
        <v>750708080</v>
      </c>
      <c r="G179" s="1" t="str">
        <f>"9725295085"</f>
        <v>9725295085</v>
      </c>
      <c r="H179" s="1" t="s">
        <v>2637</v>
      </c>
    </row>
    <row r="180" spans="1:8" x14ac:dyDescent="0.25">
      <c r="A180" s="1" t="str">
        <f>"278  "</f>
        <v xml:space="preserve">278  </v>
      </c>
      <c r="B180" s="1" t="s">
        <v>2170</v>
      </c>
      <c r="C180" s="1" t="s">
        <v>2171</v>
      </c>
      <c r="D180" s="1" t="s">
        <v>2172</v>
      </c>
      <c r="E180" s="1" t="s">
        <v>2826</v>
      </c>
      <c r="F180" s="1" t="str">
        <f>"81502    "</f>
        <v xml:space="preserve">81502    </v>
      </c>
      <c r="G180" s="1" t="str">
        <f>"8008544558"</f>
        <v>8008544558</v>
      </c>
      <c r="H180" s="1" t="s">
        <v>2637</v>
      </c>
    </row>
    <row r="181" spans="1:8" x14ac:dyDescent="0.25">
      <c r="A181" s="1" t="str">
        <f>"279  "</f>
        <v xml:space="preserve">279  </v>
      </c>
      <c r="B181" s="1" t="s">
        <v>860</v>
      </c>
      <c r="C181" s="1" t="str">
        <f>"1 E WACKER DRIVE                                  "</f>
        <v xml:space="preserve">1 E WACKER DRIVE                                  </v>
      </c>
      <c r="D181" s="1" t="s">
        <v>2154</v>
      </c>
      <c r="E181" s="1" t="s">
        <v>2786</v>
      </c>
      <c r="F181" s="1" t="str">
        <f>"60601    "</f>
        <v xml:space="preserve">60601    </v>
      </c>
      <c r="G181" s="1" t="str">
        <f>"8007778467"</f>
        <v>8007778467</v>
      </c>
      <c r="H181" s="1" t="s">
        <v>2637</v>
      </c>
    </row>
    <row r="182" spans="1:8" x14ac:dyDescent="0.25">
      <c r="A182" s="1" t="str">
        <f>"280  "</f>
        <v xml:space="preserve">280  </v>
      </c>
      <c r="B182" s="1" t="s">
        <v>34</v>
      </c>
      <c r="C182" s="1" t="s">
        <v>35</v>
      </c>
      <c r="D182" s="1" t="s">
        <v>2808</v>
      </c>
      <c r="E182" s="1" t="s">
        <v>2809</v>
      </c>
      <c r="F182" s="1" t="str">
        <f>"850722196"</f>
        <v>850722196</v>
      </c>
      <c r="G182" s="1" t="str">
        <f>"8008415550"</f>
        <v>8008415550</v>
      </c>
      <c r="H182" s="1" t="s">
        <v>36</v>
      </c>
    </row>
    <row r="183" spans="1:8" x14ac:dyDescent="0.25">
      <c r="A183" s="1" t="str">
        <f>"281  "</f>
        <v xml:space="preserve">281  </v>
      </c>
      <c r="B183" s="1" t="s">
        <v>220</v>
      </c>
      <c r="C183" s="1" t="s">
        <v>221</v>
      </c>
      <c r="D183" s="1" t="s">
        <v>222</v>
      </c>
      <c r="E183" s="1" t="s">
        <v>2821</v>
      </c>
      <c r="F183" s="1" t="str">
        <f>"07724    "</f>
        <v xml:space="preserve">07724    </v>
      </c>
      <c r="G183" s="1" t="str">
        <f>"8003371421"</f>
        <v>8003371421</v>
      </c>
      <c r="H183" s="1" t="s">
        <v>2688</v>
      </c>
    </row>
    <row r="184" spans="1:8" x14ac:dyDescent="0.25">
      <c r="A184" s="1" t="str">
        <f>"282  "</f>
        <v xml:space="preserve">282  </v>
      </c>
      <c r="B184" s="1" t="s">
        <v>2957</v>
      </c>
      <c r="C184" s="1" t="s">
        <v>2958</v>
      </c>
      <c r="D184" s="1" t="s">
        <v>2959</v>
      </c>
      <c r="E184" s="1" t="s">
        <v>2786</v>
      </c>
      <c r="F184" s="1" t="str">
        <f>"60017    "</f>
        <v xml:space="preserve">60017    </v>
      </c>
      <c r="G184" s="1" t="str">
        <f>"8009470319"</f>
        <v>8009470319</v>
      </c>
      <c r="H184" s="1" t="s">
        <v>2637</v>
      </c>
    </row>
    <row r="185" spans="1:8" x14ac:dyDescent="0.25">
      <c r="A185" s="1" t="str">
        <f>"283  "</f>
        <v xml:space="preserve">283  </v>
      </c>
      <c r="B185" s="1" t="s">
        <v>2081</v>
      </c>
      <c r="C185" s="1" t="s">
        <v>2082</v>
      </c>
      <c r="D185" s="1" t="s">
        <v>2083</v>
      </c>
      <c r="E185" s="1" t="s">
        <v>2697</v>
      </c>
      <c r="F185" s="1" t="str">
        <f>"77010    "</f>
        <v xml:space="preserve">77010    </v>
      </c>
      <c r="G185" s="1" t="str">
        <f>"8668501256"</f>
        <v>8668501256</v>
      </c>
      <c r="H185" s="1" t="s">
        <v>2795</v>
      </c>
    </row>
    <row r="186" spans="1:8" x14ac:dyDescent="0.25">
      <c r="A186" s="1" t="str">
        <f>"284  "</f>
        <v xml:space="preserve">284  </v>
      </c>
      <c r="B186" s="1" t="s">
        <v>1951</v>
      </c>
      <c r="C186" s="1" t="str">
        <f>"720 BLAIR ROAD                                    "</f>
        <v xml:space="preserve">720 BLAIR ROAD                                    </v>
      </c>
      <c r="D186" s="1" t="s">
        <v>1952</v>
      </c>
      <c r="E186" s="1" t="s">
        <v>2697</v>
      </c>
      <c r="F186" s="1" t="str">
        <f>"19044    "</f>
        <v xml:space="preserve">19044    </v>
      </c>
      <c r="G186" s="1" t="str">
        <f>"8003454017"</f>
        <v>8003454017</v>
      </c>
      <c r="H186" s="1" t="s">
        <v>2637</v>
      </c>
    </row>
    <row r="187" spans="1:8" x14ac:dyDescent="0.25">
      <c r="A187" s="1" t="str">
        <f>"285  "</f>
        <v xml:space="preserve">285  </v>
      </c>
      <c r="B187" s="1" t="s">
        <v>1111</v>
      </c>
      <c r="C187" s="1" t="str">
        <f>"1700 FARNAM STREET                                "</f>
        <v xml:space="preserve">1700 FARNAM STREET                                </v>
      </c>
      <c r="D187" s="1" t="s">
        <v>2891</v>
      </c>
      <c r="E187" s="1" t="s">
        <v>2862</v>
      </c>
      <c r="F187" s="1" t="str">
        <f>"68102    "</f>
        <v xml:space="preserve">68102    </v>
      </c>
      <c r="G187" s="1" t="str">
        <f>"8002253108"</f>
        <v>8002253108</v>
      </c>
      <c r="H187" s="1" t="s">
        <v>2637</v>
      </c>
    </row>
    <row r="188" spans="1:8" x14ac:dyDescent="0.25">
      <c r="A188" s="1" t="str">
        <f>"286  "</f>
        <v xml:space="preserve">286  </v>
      </c>
      <c r="B188" s="1" t="s">
        <v>2733</v>
      </c>
      <c r="C188" s="1" t="s">
        <v>2734</v>
      </c>
      <c r="D188" s="1" t="s">
        <v>2685</v>
      </c>
      <c r="E188" s="1" t="s">
        <v>2670</v>
      </c>
      <c r="F188" s="1" t="str">
        <f>"64116    "</f>
        <v xml:space="preserve">64116    </v>
      </c>
      <c r="G188" s="1" t="str">
        <f>"8002314015"</f>
        <v>8002314015</v>
      </c>
      <c r="H188" s="1" t="s">
        <v>2735</v>
      </c>
    </row>
    <row r="189" spans="1:8" x14ac:dyDescent="0.25">
      <c r="A189" s="1" t="str">
        <f>"287  "</f>
        <v xml:space="preserve">287  </v>
      </c>
      <c r="B189" s="1" t="s">
        <v>2076</v>
      </c>
      <c r="C189" s="1" t="s">
        <v>2077</v>
      </c>
      <c r="D189" s="1" t="s">
        <v>3070</v>
      </c>
      <c r="E189" s="1" t="s">
        <v>2714</v>
      </c>
      <c r="F189" s="1" t="str">
        <f>"45250    "</f>
        <v xml:space="preserve">45250    </v>
      </c>
      <c r="G189" s="1" t="str">
        <f>"8888008717"</f>
        <v>8888008717</v>
      </c>
      <c r="H189" s="1" t="s">
        <v>2637</v>
      </c>
    </row>
    <row r="190" spans="1:8" x14ac:dyDescent="0.25">
      <c r="A190" s="1" t="str">
        <f>"288  "</f>
        <v xml:space="preserve">288  </v>
      </c>
      <c r="B190" s="1" t="s">
        <v>1947</v>
      </c>
      <c r="C190" s="1" t="s">
        <v>1948</v>
      </c>
      <c r="D190" s="1" t="s">
        <v>3077</v>
      </c>
      <c r="E190" s="1" t="s">
        <v>3264</v>
      </c>
      <c r="F190" s="1" t="str">
        <f>"51102    "</f>
        <v xml:space="preserve">51102    </v>
      </c>
      <c r="G190" s="1" t="str">
        <f>"8002060827"</f>
        <v>8002060827</v>
      </c>
      <c r="H190" s="1" t="s">
        <v>2637</v>
      </c>
    </row>
    <row r="191" spans="1:8" x14ac:dyDescent="0.25">
      <c r="A191" s="1" t="str">
        <f>"289  "</f>
        <v xml:space="preserve">289  </v>
      </c>
      <c r="B191" s="1" t="s">
        <v>1303</v>
      </c>
      <c r="C191" s="1" t="str">
        <f>"261 MADISON AVE                                   "</f>
        <v xml:space="preserve">261 MADISON AVE                                   </v>
      </c>
      <c r="D191" s="1" t="s">
        <v>2772</v>
      </c>
      <c r="E191" s="1" t="s">
        <v>2773</v>
      </c>
      <c r="F191" s="1" t="str">
        <f>"10016    "</f>
        <v xml:space="preserve">10016    </v>
      </c>
      <c r="G191" s="1" t="str">
        <f>"8005624690"</f>
        <v>8005624690</v>
      </c>
      <c r="H191" s="1" t="s">
        <v>2648</v>
      </c>
    </row>
    <row r="192" spans="1:8" x14ac:dyDescent="0.25">
      <c r="A192" s="1" t="str">
        <f>"290  "</f>
        <v xml:space="preserve">290  </v>
      </c>
      <c r="B192" s="1" t="s">
        <v>3051</v>
      </c>
      <c r="C192" s="1" t="s">
        <v>3052</v>
      </c>
      <c r="D192" s="1" t="s">
        <v>2981</v>
      </c>
      <c r="E192" s="1" t="s">
        <v>2832</v>
      </c>
      <c r="F192" s="1" t="str">
        <f>"336313716"</f>
        <v>336313716</v>
      </c>
      <c r="G192" s="1" t="str">
        <f>"8134968100"</f>
        <v>8134968100</v>
      </c>
      <c r="H192" s="1" t="s">
        <v>2637</v>
      </c>
    </row>
    <row r="193" spans="1:8" x14ac:dyDescent="0.25">
      <c r="A193" s="1" t="str">
        <f>"291  "</f>
        <v xml:space="preserve">291  </v>
      </c>
      <c r="B193" s="1" t="s">
        <v>711</v>
      </c>
      <c r="C193" s="1" t="str">
        <f>"20547 WAVERLY COURT                               "</f>
        <v xml:space="preserve">20547 WAVERLY COURT                               </v>
      </c>
      <c r="D193" s="1" t="s">
        <v>712</v>
      </c>
      <c r="E193" s="1" t="s">
        <v>3164</v>
      </c>
      <c r="F193" s="1" t="str">
        <f>"20149    "</f>
        <v xml:space="preserve">20149    </v>
      </c>
      <c r="G193" s="1" t="str">
        <f>"7037294677"</f>
        <v>7037294677</v>
      </c>
      <c r="H193" s="1" t="s">
        <v>2637</v>
      </c>
    </row>
    <row r="194" spans="1:8" x14ac:dyDescent="0.25">
      <c r="A194" s="1" t="str">
        <f>"292  "</f>
        <v xml:space="preserve">292  </v>
      </c>
      <c r="B194" s="1" t="s">
        <v>3075</v>
      </c>
      <c r="C194" s="1" t="s">
        <v>3076</v>
      </c>
      <c r="D194" s="1" t="s">
        <v>3077</v>
      </c>
      <c r="E194" s="1" t="s">
        <v>3078</v>
      </c>
      <c r="F194" s="1" t="str">
        <f>"51102    "</f>
        <v xml:space="preserve">51102    </v>
      </c>
      <c r="G194" s="1" t="str">
        <f>"8005265710"</f>
        <v>8005265710</v>
      </c>
      <c r="H194" s="1" t="s">
        <v>2637</v>
      </c>
    </row>
    <row r="195" spans="1:8" x14ac:dyDescent="0.25">
      <c r="A195" s="1" t="str">
        <f>"293  "</f>
        <v xml:space="preserve">293  </v>
      </c>
      <c r="B195" s="1" t="s">
        <v>2774</v>
      </c>
      <c r="C195" s="1" t="s">
        <v>2775</v>
      </c>
      <c r="D195" s="1" t="s">
        <v>2776</v>
      </c>
      <c r="E195" s="1" t="s">
        <v>2714</v>
      </c>
      <c r="F195" s="1" t="str">
        <f>"43697    "</f>
        <v xml:space="preserve">43697    </v>
      </c>
      <c r="G195" s="1" t="str">
        <f>"8888912564"</f>
        <v>8888912564</v>
      </c>
      <c r="H195" s="1" t="s">
        <v>2637</v>
      </c>
    </row>
    <row r="196" spans="1:8" x14ac:dyDescent="0.25">
      <c r="A196" s="1" t="str">
        <f>"294  "</f>
        <v xml:space="preserve">294  </v>
      </c>
      <c r="B196" s="1" t="s">
        <v>3295</v>
      </c>
      <c r="C196" s="1" t="s">
        <v>3296</v>
      </c>
      <c r="D196" s="1" t="s">
        <v>2721</v>
      </c>
      <c r="E196" s="1" t="s">
        <v>2714</v>
      </c>
      <c r="F196" s="1" t="str">
        <f>"44319    "</f>
        <v xml:space="preserve">44319    </v>
      </c>
      <c r="G196" s="1" t="str">
        <f>"8002378447"</f>
        <v>8002378447</v>
      </c>
      <c r="H196" s="1" t="s">
        <v>2637</v>
      </c>
    </row>
    <row r="197" spans="1:8" x14ac:dyDescent="0.25">
      <c r="A197" s="1" t="str">
        <f>"295  "</f>
        <v xml:space="preserve">295  </v>
      </c>
      <c r="B197" s="1" t="s">
        <v>2938</v>
      </c>
      <c r="C197" s="1" t="str">
        <f>"5940 SEMINOLE CENTER COURT                        "</f>
        <v xml:space="preserve">5940 SEMINOLE CENTER COURT                        </v>
      </c>
      <c r="D197" s="1" t="s">
        <v>2939</v>
      </c>
      <c r="E197" s="1" t="s">
        <v>2667</v>
      </c>
      <c r="F197" s="1" t="str">
        <f>"53711    "</f>
        <v xml:space="preserve">53711    </v>
      </c>
      <c r="G197" s="1" t="str">
        <f>"6082731776"</f>
        <v>6082731776</v>
      </c>
      <c r="H197" s="1" t="s">
        <v>2637</v>
      </c>
    </row>
    <row r="198" spans="1:8" x14ac:dyDescent="0.25">
      <c r="A198" s="1" t="str">
        <f>"296  "</f>
        <v xml:space="preserve">296  </v>
      </c>
      <c r="B198" s="1" t="s">
        <v>2191</v>
      </c>
      <c r="C198" s="1" t="s">
        <v>2192</v>
      </c>
      <c r="D198" s="1" t="s">
        <v>2884</v>
      </c>
      <c r="E198" s="1" t="s">
        <v>2885</v>
      </c>
      <c r="F198" s="1" t="str">
        <f>"73126    "</f>
        <v xml:space="preserve">73126    </v>
      </c>
      <c r="G198" s="1" t="str">
        <f>"8006549106"</f>
        <v>8006549106</v>
      </c>
      <c r="H198" s="1" t="s">
        <v>2637</v>
      </c>
    </row>
    <row r="199" spans="1:8" x14ac:dyDescent="0.25">
      <c r="A199" s="1" t="str">
        <f>"297  "</f>
        <v xml:space="preserve">297  </v>
      </c>
      <c r="B199" s="1" t="s">
        <v>2047</v>
      </c>
      <c r="C199" s="1" t="s">
        <v>2048</v>
      </c>
      <c r="D199" s="1" t="s">
        <v>2772</v>
      </c>
      <c r="E199" s="1" t="s">
        <v>2773</v>
      </c>
      <c r="F199" s="1" t="str">
        <f>"101161451"</f>
        <v>101161451</v>
      </c>
      <c r="G199" s="1" t="str">
        <f>"2124735700"</f>
        <v>2124735700</v>
      </c>
      <c r="H199" s="1" t="s">
        <v>2637</v>
      </c>
    </row>
    <row r="200" spans="1:8" x14ac:dyDescent="0.25">
      <c r="A200" s="1" t="str">
        <f>"298  "</f>
        <v xml:space="preserve">298  </v>
      </c>
      <c r="B200" s="1" t="s">
        <v>2614</v>
      </c>
      <c r="C200" s="1" t="s">
        <v>2615</v>
      </c>
      <c r="D200" s="1" t="s">
        <v>2616</v>
      </c>
      <c r="E200" s="1" t="s">
        <v>2660</v>
      </c>
      <c r="F200" s="1" t="str">
        <f>"29304    "</f>
        <v xml:space="preserve">29304    </v>
      </c>
      <c r="G200" s="1" t="str">
        <f>"8002474526"</f>
        <v>8002474526</v>
      </c>
      <c r="H200" s="1" t="s">
        <v>2637</v>
      </c>
    </row>
    <row r="201" spans="1:8" x14ac:dyDescent="0.25">
      <c r="A201" s="1" t="str">
        <f>"299  "</f>
        <v xml:space="preserve">299  </v>
      </c>
      <c r="B201" s="1" t="s">
        <v>2770</v>
      </c>
      <c r="C201" s="1" t="s">
        <v>2771</v>
      </c>
      <c r="D201" s="1" t="s">
        <v>2772</v>
      </c>
      <c r="E201" s="1" t="s">
        <v>2773</v>
      </c>
      <c r="F201" s="1" t="str">
        <f>"10116    "</f>
        <v xml:space="preserve">10116    </v>
      </c>
      <c r="G201" s="1" t="str">
        <f>"2125395115"</f>
        <v>2125395115</v>
      </c>
      <c r="H201" s="1" t="s">
        <v>2637</v>
      </c>
    </row>
    <row r="202" spans="1:8" x14ac:dyDescent="0.25">
      <c r="A202" s="1" t="str">
        <f>"300  "</f>
        <v xml:space="preserve">300  </v>
      </c>
      <c r="B202" s="1" t="s">
        <v>1019</v>
      </c>
      <c r="C202" s="1" t="s">
        <v>1020</v>
      </c>
      <c r="D202" s="1" t="s">
        <v>1021</v>
      </c>
      <c r="E202" s="1" t="s">
        <v>2697</v>
      </c>
      <c r="F202" s="1" t="str">
        <f>"16512    "</f>
        <v xml:space="preserve">16512    </v>
      </c>
      <c r="G202" s="1" t="str">
        <f>"8007772524"</f>
        <v>8007772524</v>
      </c>
      <c r="H202" s="1" t="s">
        <v>2637</v>
      </c>
    </row>
    <row r="203" spans="1:8" x14ac:dyDescent="0.25">
      <c r="A203" s="1" t="str">
        <f>"301  "</f>
        <v xml:space="preserve">301  </v>
      </c>
      <c r="B203" s="1" t="s">
        <v>208</v>
      </c>
      <c r="C203" s="1" t="str">
        <f>"2145 FORD PARKWAY, SUITE 300                      "</f>
        <v xml:space="preserve">2145 FORD PARKWAY, SUITE 300                      </v>
      </c>
      <c r="D203" s="1" t="s">
        <v>209</v>
      </c>
      <c r="E203" s="1" t="s">
        <v>2902</v>
      </c>
      <c r="F203" s="1" t="str">
        <f>"55116    "</f>
        <v xml:space="preserve">55116    </v>
      </c>
      <c r="G203" s="1" t="str">
        <f>"8002778973"</f>
        <v>8002778973</v>
      </c>
      <c r="H203" s="1" t="s">
        <v>2637</v>
      </c>
    </row>
    <row r="204" spans="1:8" x14ac:dyDescent="0.25">
      <c r="A204" s="1" t="str">
        <f>"302  "</f>
        <v xml:space="preserve">302  </v>
      </c>
      <c r="B204" s="1" t="s">
        <v>151</v>
      </c>
      <c r="C204" s="1" t="s">
        <v>152</v>
      </c>
      <c r="D204" s="1" t="s">
        <v>1877</v>
      </c>
      <c r="E204" s="1" t="s">
        <v>2670</v>
      </c>
      <c r="F204" s="1" t="str">
        <f>"640514665"</f>
        <v>640514665</v>
      </c>
      <c r="G204" s="1" t="str">
        <f>"8162575500"</f>
        <v>8162575500</v>
      </c>
      <c r="H204" s="1" t="s">
        <v>2637</v>
      </c>
    </row>
    <row r="205" spans="1:8" x14ac:dyDescent="0.25">
      <c r="A205" s="1" t="str">
        <f>"303  "</f>
        <v xml:space="preserve">303  </v>
      </c>
      <c r="B205" s="1" t="s">
        <v>594</v>
      </c>
      <c r="C205" s="1" t="s">
        <v>595</v>
      </c>
      <c r="D205" s="1" t="s">
        <v>2743</v>
      </c>
      <c r="E205" s="1" t="s">
        <v>2744</v>
      </c>
      <c r="F205" s="1" t="str">
        <f>"40224    "</f>
        <v xml:space="preserve">40224    </v>
      </c>
      <c r="G205" s="1" t="str">
        <f>"5023397500"</f>
        <v>5023397500</v>
      </c>
      <c r="H205" s="1" t="s">
        <v>2637</v>
      </c>
    </row>
    <row r="206" spans="1:8" x14ac:dyDescent="0.25">
      <c r="A206" s="1" t="str">
        <f>"304  "</f>
        <v xml:space="preserve">304  </v>
      </c>
      <c r="B206" s="1" t="s">
        <v>895</v>
      </c>
      <c r="C206" s="1" t="s">
        <v>896</v>
      </c>
      <c r="D206" s="1" t="s">
        <v>897</v>
      </c>
      <c r="E206" s="1" t="s">
        <v>3264</v>
      </c>
      <c r="F206" s="1" t="str">
        <f>"528083310"</f>
        <v>528083310</v>
      </c>
      <c r="G206" s="1" t="str">
        <f>"8669272200"</f>
        <v>8669272200</v>
      </c>
      <c r="H206" s="1" t="s">
        <v>2637</v>
      </c>
    </row>
    <row r="207" spans="1:8" x14ac:dyDescent="0.25">
      <c r="A207" s="1" t="str">
        <f>"305  "</f>
        <v xml:space="preserve">305  </v>
      </c>
      <c r="B207" s="1" t="s">
        <v>3011</v>
      </c>
      <c r="C207" s="1" t="s">
        <v>3012</v>
      </c>
      <c r="D207" s="1" t="s">
        <v>3013</v>
      </c>
      <c r="E207" s="1" t="s">
        <v>3014</v>
      </c>
      <c r="F207" s="1" t="str">
        <f>"253302801"</f>
        <v>253302801</v>
      </c>
      <c r="G207" s="1" t="str">
        <f>"8668695597"</f>
        <v>8668695597</v>
      </c>
      <c r="H207" s="1" t="s">
        <v>2637</v>
      </c>
    </row>
    <row r="208" spans="1:8" x14ac:dyDescent="0.25">
      <c r="A208" s="1" t="str">
        <f>"306  "</f>
        <v xml:space="preserve">306  </v>
      </c>
      <c r="B208" s="1" t="s">
        <v>270</v>
      </c>
      <c r="C208" s="1" t="str">
        <f>"111 MASSACHUSETTS AVENUE, NW                      "</f>
        <v xml:space="preserve">111 MASSACHUSETTS AVENUE, NW                      </v>
      </c>
      <c r="D208" s="1" t="s">
        <v>2691</v>
      </c>
      <c r="E208" s="1" t="s">
        <v>2692</v>
      </c>
      <c r="F208" s="1" t="str">
        <f>"20001    "</f>
        <v xml:space="preserve">20001    </v>
      </c>
      <c r="G208" s="1" t="str">
        <f>"8004438087"</f>
        <v>8004438087</v>
      </c>
      <c r="H208" s="1" t="s">
        <v>2637</v>
      </c>
    </row>
    <row r="209" spans="1:8" x14ac:dyDescent="0.25">
      <c r="A209" s="1" t="str">
        <f>"307  "</f>
        <v xml:space="preserve">307  </v>
      </c>
      <c r="B209" s="1" t="s">
        <v>2783</v>
      </c>
      <c r="C209" s="1" t="s">
        <v>2784</v>
      </c>
      <c r="D209" s="1" t="s">
        <v>2785</v>
      </c>
      <c r="E209" s="1" t="s">
        <v>2786</v>
      </c>
      <c r="F209" s="1" t="str">
        <f>"60068    "</f>
        <v xml:space="preserve">60068    </v>
      </c>
      <c r="G209" s="1" t="str">
        <f>"8665131479"</f>
        <v>8665131479</v>
      </c>
      <c r="H209" s="1" t="s">
        <v>2637</v>
      </c>
    </row>
    <row r="210" spans="1:8" x14ac:dyDescent="0.25">
      <c r="A210" s="1" t="str">
        <f>"308  "</f>
        <v xml:space="preserve">308  </v>
      </c>
      <c r="B210" s="1" t="s">
        <v>2668</v>
      </c>
      <c r="C210" s="1" t="str">
        <f>"1000 GREAT WEST DR                                "</f>
        <v xml:space="preserve">1000 GREAT WEST DR                                </v>
      </c>
      <c r="D210" s="1" t="s">
        <v>2669</v>
      </c>
      <c r="E210" s="1" t="s">
        <v>2670</v>
      </c>
      <c r="F210" s="1" t="str">
        <f>"63857    "</f>
        <v xml:space="preserve">63857    </v>
      </c>
      <c r="G210" s="1" t="str">
        <f>"8006638081"</f>
        <v>8006638081</v>
      </c>
      <c r="H210" s="1" t="s">
        <v>2637</v>
      </c>
    </row>
    <row r="211" spans="1:8" x14ac:dyDescent="0.25">
      <c r="A211" s="1" t="str">
        <f>"309  "</f>
        <v xml:space="preserve">309  </v>
      </c>
      <c r="B211" s="1" t="s">
        <v>2321</v>
      </c>
      <c r="C211" s="1" t="s">
        <v>2322</v>
      </c>
      <c r="D211" s="1" t="s">
        <v>2323</v>
      </c>
      <c r="E211" s="1" t="s">
        <v>2786</v>
      </c>
      <c r="F211" s="1" t="str">
        <f>"605325227"</f>
        <v>605325227</v>
      </c>
      <c r="G211" s="1" t="str">
        <f>"6304939252"</f>
        <v>6304939252</v>
      </c>
      <c r="H211" s="1" t="s">
        <v>2324</v>
      </c>
    </row>
    <row r="212" spans="1:8" x14ac:dyDescent="0.25">
      <c r="A212" s="1" t="str">
        <f>"310  "</f>
        <v xml:space="preserve">310  </v>
      </c>
      <c r="B212" s="1" t="s">
        <v>266</v>
      </c>
      <c r="C212" s="1" t="s">
        <v>267</v>
      </c>
      <c r="D212" s="1" t="s">
        <v>2717</v>
      </c>
      <c r="E212" s="1" t="s">
        <v>2681</v>
      </c>
      <c r="F212" s="1" t="str">
        <f>"31139    "</f>
        <v xml:space="preserve">31139    </v>
      </c>
      <c r="G212" s="1" t="str">
        <f>"8007425246"</f>
        <v>8007425246</v>
      </c>
      <c r="H212" s="1" t="s">
        <v>2637</v>
      </c>
    </row>
    <row r="213" spans="1:8" x14ac:dyDescent="0.25">
      <c r="A213" s="1" t="str">
        <f>"311  "</f>
        <v xml:space="preserve">311  </v>
      </c>
      <c r="B213" s="1" t="s">
        <v>1327</v>
      </c>
      <c r="C213" s="1" t="s">
        <v>1328</v>
      </c>
      <c r="D213" s="1" t="s">
        <v>2985</v>
      </c>
      <c r="E213" s="1" t="s">
        <v>2636</v>
      </c>
      <c r="F213" s="1" t="str">
        <f>"78269----"</f>
        <v>78269----</v>
      </c>
      <c r="G213" s="1" t="str">
        <f>"2106991872"</f>
        <v>2106991872</v>
      </c>
      <c r="H213" s="1" t="s">
        <v>2637</v>
      </c>
    </row>
    <row r="214" spans="1:8" x14ac:dyDescent="0.25">
      <c r="A214" s="1" t="str">
        <f>"312  "</f>
        <v xml:space="preserve">312  </v>
      </c>
      <c r="B214" s="1" t="s">
        <v>2037</v>
      </c>
      <c r="C214" s="1" t="s">
        <v>2038</v>
      </c>
      <c r="D214" s="1" t="s">
        <v>2906</v>
      </c>
      <c r="E214" s="1" t="s">
        <v>2677</v>
      </c>
      <c r="F214" s="1" t="str">
        <f>"282277016"</f>
        <v>282277016</v>
      </c>
      <c r="G214" s="1" t="str">
        <f>"8004826736"</f>
        <v>8004826736</v>
      </c>
      <c r="H214" s="1" t="s">
        <v>2637</v>
      </c>
    </row>
    <row r="215" spans="1:8" x14ac:dyDescent="0.25">
      <c r="A215" s="1" t="str">
        <f>"313  "</f>
        <v xml:space="preserve">313  </v>
      </c>
      <c r="B215" s="1" t="s">
        <v>1771</v>
      </c>
      <c r="C215" s="1" t="str">
        <f>"1000 GREAT WEST DR                                "</f>
        <v xml:space="preserve">1000 GREAT WEST DR                                </v>
      </c>
      <c r="D215" s="1" t="s">
        <v>2669</v>
      </c>
      <c r="E215" s="1" t="s">
        <v>2670</v>
      </c>
      <c r="F215" s="1" t="str">
        <f>"63857    "</f>
        <v xml:space="preserve">63857    </v>
      </c>
      <c r="G215" s="1" t="str">
        <f>"8006638081"</f>
        <v>8006638081</v>
      </c>
      <c r="H215" s="1" t="s">
        <v>2637</v>
      </c>
    </row>
    <row r="216" spans="1:8" x14ac:dyDescent="0.25">
      <c r="A216" s="1" t="str">
        <f>"314  "</f>
        <v xml:space="preserve">314  </v>
      </c>
      <c r="B216" s="1" t="s">
        <v>699</v>
      </c>
      <c r="C216" s="1" t="str">
        <f>"50 LENNOX POINTE                                  "</f>
        <v xml:space="preserve">50 LENNOX POINTE                                  </v>
      </c>
      <c r="D216" s="1" t="s">
        <v>2717</v>
      </c>
      <c r="E216" s="1" t="s">
        <v>2681</v>
      </c>
      <c r="F216" s="1" t="str">
        <f>"30324    "</f>
        <v xml:space="preserve">30324    </v>
      </c>
      <c r="G216" s="1" t="str">
        <f>"8887275560"</f>
        <v>8887275560</v>
      </c>
      <c r="H216" s="1" t="s">
        <v>2068</v>
      </c>
    </row>
    <row r="217" spans="1:8" x14ac:dyDescent="0.25">
      <c r="A217" s="1" t="str">
        <f>"315  "</f>
        <v xml:space="preserve">315  </v>
      </c>
      <c r="B217" s="1" t="s">
        <v>2262</v>
      </c>
      <c r="C217" s="1" t="s">
        <v>2263</v>
      </c>
      <c r="D217" s="1" t="s">
        <v>3013</v>
      </c>
      <c r="E217" s="1" t="s">
        <v>2660</v>
      </c>
      <c r="F217" s="1" t="str">
        <f>"29413    "</f>
        <v xml:space="preserve">29413    </v>
      </c>
      <c r="G217" s="1" t="str">
        <f>"8437222115"</f>
        <v>8437222115</v>
      </c>
      <c r="H217" s="1" t="s">
        <v>2637</v>
      </c>
    </row>
    <row r="218" spans="1:8" x14ac:dyDescent="0.25">
      <c r="A218" s="1" t="str">
        <f>"316  "</f>
        <v xml:space="preserve">316  </v>
      </c>
      <c r="B218" s="1" t="s">
        <v>123</v>
      </c>
      <c r="C218" s="1" t="str">
        <f>"2610 WYCLIFF RD                                   "</f>
        <v xml:space="preserve">2610 WYCLIFF RD                                   </v>
      </c>
      <c r="D218" s="1" t="s">
        <v>2067</v>
      </c>
      <c r="E218" s="1" t="s">
        <v>2677</v>
      </c>
      <c r="F218" s="1" t="str">
        <f>"27607    "</f>
        <v xml:space="preserve">27607    </v>
      </c>
      <c r="G218" s="1" t="str">
        <f>"8002891122"</f>
        <v>8002891122</v>
      </c>
      <c r="H218" s="1" t="s">
        <v>2637</v>
      </c>
    </row>
    <row r="219" spans="1:8" x14ac:dyDescent="0.25">
      <c r="A219" s="1" t="str">
        <f>"317  "</f>
        <v xml:space="preserve">317  </v>
      </c>
      <c r="B219" s="1" t="s">
        <v>1318</v>
      </c>
      <c r="C219" s="1" t="str">
        <f>"4789 RINGS ROAD                                   "</f>
        <v xml:space="preserve">4789 RINGS ROAD                                   </v>
      </c>
      <c r="D219" s="1" t="s">
        <v>1914</v>
      </c>
      <c r="E219" s="1" t="s">
        <v>2714</v>
      </c>
      <c r="F219" s="1" t="str">
        <f>"43017    "</f>
        <v xml:space="preserve">43017    </v>
      </c>
      <c r="G219" s="1" t="str">
        <f>"8005520455"</f>
        <v>8005520455</v>
      </c>
      <c r="H219" s="1" t="s">
        <v>2637</v>
      </c>
    </row>
    <row r="220" spans="1:8" x14ac:dyDescent="0.25">
      <c r="A220" s="1" t="str">
        <f>"318  "</f>
        <v xml:space="preserve">318  </v>
      </c>
      <c r="B220" s="1" t="s">
        <v>831</v>
      </c>
      <c r="C220" s="1" t="str">
        <f>"1867 WEST MARKET STREET                           "</f>
        <v xml:space="preserve">1867 WEST MARKET STREET                           </v>
      </c>
      <c r="D220" s="1" t="s">
        <v>2721</v>
      </c>
      <c r="E220" s="1" t="s">
        <v>2714</v>
      </c>
      <c r="F220" s="1" t="str">
        <f>"443136977"</f>
        <v>443136977</v>
      </c>
      <c r="G220" s="1" t="str">
        <f>"3308678443"</f>
        <v>3308678443</v>
      </c>
      <c r="H220" s="1" t="s">
        <v>2637</v>
      </c>
    </row>
    <row r="221" spans="1:8" x14ac:dyDescent="0.25">
      <c r="A221" s="1" t="str">
        <f>"319  "</f>
        <v xml:space="preserve">319  </v>
      </c>
      <c r="B221" s="1" t="s">
        <v>851</v>
      </c>
      <c r="C221" s="1" t="s">
        <v>852</v>
      </c>
      <c r="D221" s="1" t="s">
        <v>776</v>
      </c>
      <c r="E221" s="1" t="s">
        <v>2697</v>
      </c>
      <c r="F221" s="1" t="str">
        <f>"19406    "</f>
        <v xml:space="preserve">19406    </v>
      </c>
      <c r="G221" s="1" t="str">
        <f>"8002202600"</f>
        <v>8002202600</v>
      </c>
      <c r="H221" s="1" t="s">
        <v>2637</v>
      </c>
    </row>
    <row r="222" spans="1:8" x14ac:dyDescent="0.25">
      <c r="A222" s="1" t="str">
        <f>"320  "</f>
        <v xml:space="preserve">320  </v>
      </c>
      <c r="B222" s="1" t="s">
        <v>3158</v>
      </c>
      <c r="C222" s="1" t="s">
        <v>3159</v>
      </c>
      <c r="D222" s="1" t="s">
        <v>3160</v>
      </c>
      <c r="E222" s="1" t="s">
        <v>3161</v>
      </c>
      <c r="F222" s="1" t="str">
        <f>"39201    "</f>
        <v xml:space="preserve">39201    </v>
      </c>
      <c r="G222" s="1" t="str">
        <f>"6019493100"</f>
        <v>6019493100</v>
      </c>
      <c r="H222" s="1" t="s">
        <v>2637</v>
      </c>
    </row>
    <row r="223" spans="1:8" x14ac:dyDescent="0.25">
      <c r="A223" s="1" t="str">
        <f>"321  "</f>
        <v xml:space="preserve">321  </v>
      </c>
      <c r="B223" s="1" t="s">
        <v>2085</v>
      </c>
      <c r="C223" s="1" t="s">
        <v>2086</v>
      </c>
      <c r="D223" s="1" t="s">
        <v>3045</v>
      </c>
      <c r="E223" s="1" t="s">
        <v>2970</v>
      </c>
      <c r="F223" s="1" t="str">
        <f>"37422    "</f>
        <v xml:space="preserve">37422    </v>
      </c>
      <c r="G223" s="1" t="str">
        <f>"8002222798"</f>
        <v>8002222798</v>
      </c>
      <c r="H223" s="1" t="s">
        <v>2637</v>
      </c>
    </row>
    <row r="224" spans="1:8" x14ac:dyDescent="0.25">
      <c r="A224" s="1" t="str">
        <f>"322  "</f>
        <v xml:space="preserve">322  </v>
      </c>
      <c r="B224" s="1" t="s">
        <v>1710</v>
      </c>
      <c r="C224" s="1" t="s">
        <v>1561</v>
      </c>
      <c r="D224" s="1" t="s">
        <v>2854</v>
      </c>
      <c r="E224" s="1" t="s">
        <v>2636</v>
      </c>
      <c r="F224" s="1" t="str">
        <f>"799980624"</f>
        <v>799980624</v>
      </c>
      <c r="G224" s="1" t="str">
        <f>"8005537654"</f>
        <v>8005537654</v>
      </c>
      <c r="H224" s="1" t="s">
        <v>1711</v>
      </c>
    </row>
    <row r="225" spans="1:8" x14ac:dyDescent="0.25">
      <c r="A225" s="1" t="str">
        <f>"323  "</f>
        <v xml:space="preserve">323  </v>
      </c>
      <c r="B225" s="1" t="s">
        <v>1897</v>
      </c>
      <c r="C225" s="1" t="s">
        <v>1898</v>
      </c>
      <c r="D225" s="1" t="s">
        <v>3074</v>
      </c>
      <c r="E225" s="1" t="s">
        <v>2832</v>
      </c>
      <c r="F225" s="1" t="str">
        <f>"337578843"</f>
        <v>337578843</v>
      </c>
      <c r="G225" s="1" t="str">
        <f>"8885868810"</f>
        <v>8885868810</v>
      </c>
      <c r="H225" s="1" t="s">
        <v>2637</v>
      </c>
    </row>
    <row r="226" spans="1:8" x14ac:dyDescent="0.25">
      <c r="A226" s="1" t="str">
        <f>"324  "</f>
        <v xml:space="preserve">324  </v>
      </c>
      <c r="B226" s="1" t="s">
        <v>229</v>
      </c>
      <c r="C226" s="1" t="str">
        <f>"5 HUTCHINSON DR                                   "</f>
        <v xml:space="preserve">5 HUTCHINSON DR                                   </v>
      </c>
      <c r="D226" s="1" t="s">
        <v>2120</v>
      </c>
      <c r="E226" s="1" t="s">
        <v>3118</v>
      </c>
      <c r="F226" s="1" t="str">
        <f>"01923    "</f>
        <v xml:space="preserve">01923    </v>
      </c>
      <c r="G226" s="1" t="str">
        <f>"8889994767"</f>
        <v>8889994767</v>
      </c>
      <c r="H226" s="1" t="s">
        <v>2735</v>
      </c>
    </row>
    <row r="227" spans="1:8" x14ac:dyDescent="0.25">
      <c r="A227" s="1" t="str">
        <f>"325  "</f>
        <v xml:space="preserve">325  </v>
      </c>
      <c r="B227" s="1" t="s">
        <v>752</v>
      </c>
      <c r="C227" s="1" t="s">
        <v>753</v>
      </c>
      <c r="D227" s="1" t="s">
        <v>2791</v>
      </c>
      <c r="E227" s="1" t="s">
        <v>2744</v>
      </c>
      <c r="F227" s="1" t="str">
        <f>"40742    "</f>
        <v xml:space="preserve">40742    </v>
      </c>
      <c r="G227" s="1" t="str">
        <f>"8004311211"</f>
        <v>8004311211</v>
      </c>
      <c r="H227" s="1" t="s">
        <v>2637</v>
      </c>
    </row>
    <row r="228" spans="1:8" x14ac:dyDescent="0.25">
      <c r="A228" s="1" t="str">
        <f>"326  "</f>
        <v xml:space="preserve">326  </v>
      </c>
      <c r="B228" s="1" t="s">
        <v>2050</v>
      </c>
      <c r="C228" s="1" t="s">
        <v>2051</v>
      </c>
      <c r="D228" s="1" t="s">
        <v>2052</v>
      </c>
      <c r="E228" s="1" t="s">
        <v>2681</v>
      </c>
      <c r="F228" s="1" t="str">
        <f>"300090247"</f>
        <v>300090247</v>
      </c>
      <c r="G228" s="1" t="str">
        <f>"8008329186"</f>
        <v>8008329186</v>
      </c>
      <c r="H228" s="1" t="s">
        <v>2637</v>
      </c>
    </row>
    <row r="229" spans="1:8" x14ac:dyDescent="0.25">
      <c r="A229" s="1" t="str">
        <f>"327  "</f>
        <v xml:space="preserve">327  </v>
      </c>
      <c r="B229" s="1" t="s">
        <v>683</v>
      </c>
      <c r="C229" s="1" t="s">
        <v>684</v>
      </c>
      <c r="D229" s="1" t="s">
        <v>2791</v>
      </c>
      <c r="E229" s="1" t="s">
        <v>2744</v>
      </c>
      <c r="F229" s="1" t="str">
        <f>"40742    "</f>
        <v xml:space="preserve">40742    </v>
      </c>
      <c r="G229" s="1" t="str">
        <f>"8004107778"</f>
        <v>8004107778</v>
      </c>
      <c r="H229" s="1" t="s">
        <v>2637</v>
      </c>
    </row>
    <row r="230" spans="1:8" x14ac:dyDescent="0.25">
      <c r="A230" s="1" t="str">
        <f>"328  "</f>
        <v xml:space="preserve">328  </v>
      </c>
      <c r="B230" s="1" t="s">
        <v>920</v>
      </c>
      <c r="C230" s="1" t="s">
        <v>921</v>
      </c>
      <c r="D230" s="1" t="s">
        <v>2465</v>
      </c>
      <c r="E230" s="1" t="s">
        <v>2636</v>
      </c>
      <c r="F230" s="1" t="str">
        <f>"76163    "</f>
        <v xml:space="preserve">76163    </v>
      </c>
      <c r="G230" s="1" t="str">
        <f>"8667747766"</f>
        <v>8667747766</v>
      </c>
      <c r="H230" s="1" t="s">
        <v>3218</v>
      </c>
    </row>
    <row r="231" spans="1:8" x14ac:dyDescent="0.25">
      <c r="A231" s="1" t="str">
        <f>"329  "</f>
        <v xml:space="preserve">329  </v>
      </c>
      <c r="B231" s="1" t="s">
        <v>1671</v>
      </c>
      <c r="C231" s="1" t="s">
        <v>1672</v>
      </c>
      <c r="D231" s="1" t="s">
        <v>1673</v>
      </c>
      <c r="E231" s="1" t="s">
        <v>3164</v>
      </c>
      <c r="F231" s="1" t="str">
        <f>"23431    "</f>
        <v xml:space="preserve">23431    </v>
      </c>
      <c r="G231" s="1" t="str">
        <f>"8008095916"</f>
        <v>8008095916</v>
      </c>
      <c r="H231" s="1" t="s">
        <v>2637</v>
      </c>
    </row>
    <row r="232" spans="1:8" x14ac:dyDescent="0.25">
      <c r="A232" s="1" t="str">
        <f>"330  "</f>
        <v xml:space="preserve">330  </v>
      </c>
      <c r="B232" s="1" t="s">
        <v>2507</v>
      </c>
      <c r="C232" s="1" t="s">
        <v>2508</v>
      </c>
      <c r="D232" s="1" t="s">
        <v>3157</v>
      </c>
      <c r="E232" s="1" t="s">
        <v>2970</v>
      </c>
      <c r="F232" s="1" t="str">
        <f>"37234    "</f>
        <v xml:space="preserve">37234    </v>
      </c>
      <c r="G232" s="1" t="str">
        <f>"2147200511"</f>
        <v>2147200511</v>
      </c>
      <c r="H232" s="1" t="s">
        <v>2637</v>
      </c>
    </row>
    <row r="233" spans="1:8" x14ac:dyDescent="0.25">
      <c r="A233" s="1" t="str">
        <f>"331  "</f>
        <v xml:space="preserve">331  </v>
      </c>
      <c r="B233" s="1" t="s">
        <v>295</v>
      </c>
      <c r="C233" s="1" t="s">
        <v>296</v>
      </c>
      <c r="D233" s="1" t="s">
        <v>2154</v>
      </c>
      <c r="E233" s="1" t="s">
        <v>2786</v>
      </c>
      <c r="F233" s="1" t="str">
        <f>"606660904"</f>
        <v>606660904</v>
      </c>
      <c r="G233" s="1" t="str">
        <f>"8005412254"</f>
        <v>8005412254</v>
      </c>
      <c r="H233" s="1" t="s">
        <v>2637</v>
      </c>
    </row>
    <row r="234" spans="1:8" x14ac:dyDescent="0.25">
      <c r="A234" s="1" t="str">
        <f>"332  "</f>
        <v xml:space="preserve">332  </v>
      </c>
      <c r="B234" s="1" t="s">
        <v>2173</v>
      </c>
      <c r="C234" s="1" t="s">
        <v>2174</v>
      </c>
      <c r="D234" s="1" t="s">
        <v>2175</v>
      </c>
      <c r="E234" s="1" t="s">
        <v>3118</v>
      </c>
      <c r="F234" s="1" t="str">
        <f>"01581    "</f>
        <v xml:space="preserve">01581    </v>
      </c>
      <c r="G234" s="1" t="str">
        <f>"8005327575"</f>
        <v>8005327575</v>
      </c>
      <c r="H234" s="1" t="s">
        <v>2637</v>
      </c>
    </row>
    <row r="235" spans="1:8" x14ac:dyDescent="0.25">
      <c r="A235" s="1" t="str">
        <f>"333  "</f>
        <v xml:space="preserve">333  </v>
      </c>
      <c r="B235" s="1" t="s">
        <v>1345</v>
      </c>
      <c r="C235" s="1" t="s">
        <v>1346</v>
      </c>
      <c r="D235" s="1" t="s">
        <v>3263</v>
      </c>
      <c r="E235" s="1" t="s">
        <v>3264</v>
      </c>
      <c r="F235" s="1" t="str">
        <f>"527332849"</f>
        <v>527332849</v>
      </c>
      <c r="G235" s="1" t="str">
        <f>"8004516245"</f>
        <v>8004516245</v>
      </c>
      <c r="H235" s="1" t="s">
        <v>2637</v>
      </c>
    </row>
    <row r="236" spans="1:8" x14ac:dyDescent="0.25">
      <c r="A236" s="1" t="str">
        <f>"334  "</f>
        <v xml:space="preserve">334  </v>
      </c>
      <c r="B236" s="1" t="s">
        <v>2078</v>
      </c>
      <c r="C236" s="1" t="str">
        <f>"1750 PENNSYLVANIA AVE., NW                        "</f>
        <v xml:space="preserve">1750 PENNSYLVANIA AVE., NW                        </v>
      </c>
      <c r="D236" s="1" t="s">
        <v>2691</v>
      </c>
      <c r="E236" s="1" t="s">
        <v>2692</v>
      </c>
      <c r="F236" s="1" t="str">
        <f>"20006    "</f>
        <v xml:space="preserve">20006    </v>
      </c>
      <c r="G236" s="1" t="str">
        <f>"8006388432"</f>
        <v>8006388432</v>
      </c>
      <c r="H236" s="1" t="s">
        <v>2637</v>
      </c>
    </row>
    <row r="237" spans="1:8" x14ac:dyDescent="0.25">
      <c r="A237" s="1" t="str">
        <f>"335  "</f>
        <v xml:space="preserve">335  </v>
      </c>
      <c r="B237" s="1" t="s">
        <v>1281</v>
      </c>
      <c r="C237" s="1" t="s">
        <v>1282</v>
      </c>
      <c r="D237" s="1" t="s">
        <v>1283</v>
      </c>
      <c r="E237" s="1" t="s">
        <v>2714</v>
      </c>
      <c r="F237" s="1" t="str">
        <f>"441468022"</f>
        <v>441468022</v>
      </c>
      <c r="G237" s="1" t="str">
        <f>"4402504300"</f>
        <v>4402504300</v>
      </c>
      <c r="H237" s="1" t="s">
        <v>2637</v>
      </c>
    </row>
    <row r="238" spans="1:8" x14ac:dyDescent="0.25">
      <c r="A238" s="1" t="str">
        <f>"336  "</f>
        <v xml:space="preserve">336  </v>
      </c>
      <c r="B238" s="1" t="s">
        <v>3282</v>
      </c>
      <c r="C238" s="1" t="s">
        <v>3283</v>
      </c>
      <c r="D238" s="1" t="s">
        <v>3284</v>
      </c>
      <c r="E238" s="1" t="s">
        <v>2773</v>
      </c>
      <c r="F238" s="1" t="str">
        <f>"12167    "</f>
        <v xml:space="preserve">12167    </v>
      </c>
      <c r="G238" s="1" t="str">
        <f>"8009626294"</f>
        <v>8009626294</v>
      </c>
      <c r="H238" s="1" t="s">
        <v>2735</v>
      </c>
    </row>
    <row r="239" spans="1:8" x14ac:dyDescent="0.25">
      <c r="A239" s="1" t="str">
        <f>"337  "</f>
        <v xml:space="preserve">337  </v>
      </c>
      <c r="B239" s="1" t="s">
        <v>1310</v>
      </c>
      <c r="C239" s="1" t="s">
        <v>1311</v>
      </c>
      <c r="D239" s="1" t="s">
        <v>2752</v>
      </c>
      <c r="E239" s="1" t="s">
        <v>2697</v>
      </c>
      <c r="F239" s="1" t="str">
        <f>"19101    "</f>
        <v xml:space="preserve">19101    </v>
      </c>
      <c r="G239" s="1" t="str">
        <f>"8007737752"</f>
        <v>8007737752</v>
      </c>
      <c r="H239" s="1" t="s">
        <v>2637</v>
      </c>
    </row>
    <row r="240" spans="1:8" x14ac:dyDescent="0.25">
      <c r="A240" s="1" t="str">
        <f>"338  "</f>
        <v xml:space="preserve">338  </v>
      </c>
      <c r="B240" s="1" t="s">
        <v>409</v>
      </c>
      <c r="C240" s="1" t="s">
        <v>410</v>
      </c>
      <c r="D240" s="1" t="s">
        <v>2181</v>
      </c>
      <c r="E240" s="1" t="s">
        <v>2970</v>
      </c>
      <c r="F240" s="1" t="str">
        <f>"38111    "</f>
        <v xml:space="preserve">38111    </v>
      </c>
      <c r="G240" s="1" t="str">
        <f>"8002381344"</f>
        <v>8002381344</v>
      </c>
      <c r="H240" s="1" t="s">
        <v>2637</v>
      </c>
    </row>
    <row r="241" spans="1:8" x14ac:dyDescent="0.25">
      <c r="A241" s="1" t="str">
        <f>"339  "</f>
        <v xml:space="preserve">339  </v>
      </c>
      <c r="B241" s="1" t="s">
        <v>241</v>
      </c>
      <c r="C241" s="1" t="s">
        <v>242</v>
      </c>
      <c r="D241" s="1" t="s">
        <v>2705</v>
      </c>
      <c r="E241" s="1" t="s">
        <v>2706</v>
      </c>
      <c r="F241" s="1" t="str">
        <f>"462030839"</f>
        <v>462030839</v>
      </c>
      <c r="G241" s="1" t="str">
        <f>"8004777870"</f>
        <v>8004777870</v>
      </c>
      <c r="H241" s="1" t="s">
        <v>2637</v>
      </c>
    </row>
    <row r="242" spans="1:8" x14ac:dyDescent="0.25">
      <c r="A242" s="1" t="str">
        <f>"340  "</f>
        <v xml:space="preserve">340  </v>
      </c>
      <c r="B242" s="1" t="s">
        <v>596</v>
      </c>
      <c r="C242" s="1" t="str">
        <f>"3800 23RD AVE OF THE CITIES, STE 200              "</f>
        <v xml:space="preserve">3800 23RD AVE OF THE CITIES, STE 200              </v>
      </c>
      <c r="D242" s="1" t="s">
        <v>134</v>
      </c>
      <c r="E242" s="1" t="s">
        <v>2786</v>
      </c>
      <c r="F242" s="1" t="str">
        <f>"61265    "</f>
        <v xml:space="preserve">61265    </v>
      </c>
      <c r="G242" s="1" t="str">
        <f>"8002246602"</f>
        <v>8002246602</v>
      </c>
      <c r="H242" s="1" t="s">
        <v>597</v>
      </c>
    </row>
    <row r="243" spans="1:8" x14ac:dyDescent="0.25">
      <c r="A243" s="1" t="str">
        <f>"341  "</f>
        <v xml:space="preserve">341  </v>
      </c>
      <c r="B243" s="1" t="s">
        <v>2388</v>
      </c>
      <c r="C243" s="1" t="str">
        <f>"994 OLD EAGLE SCHOOL RD STE 1005                  "</f>
        <v xml:space="preserve">994 OLD EAGLE SCHOOL RD STE 1005                  </v>
      </c>
      <c r="D243" s="1" t="s">
        <v>2389</v>
      </c>
      <c r="E243" s="1" t="s">
        <v>2697</v>
      </c>
      <c r="F243" s="1" t="str">
        <f>"19087    "</f>
        <v xml:space="preserve">19087    </v>
      </c>
      <c r="G243" s="1" t="str">
        <f>"8882939229"</f>
        <v>8882939229</v>
      </c>
      <c r="H243" s="1" t="s">
        <v>2637</v>
      </c>
    </row>
    <row r="244" spans="1:8" x14ac:dyDescent="0.25">
      <c r="A244" s="1" t="str">
        <f>"342  "</f>
        <v xml:space="preserve">342  </v>
      </c>
      <c r="B244" s="1" t="s">
        <v>1653</v>
      </c>
      <c r="C244" s="1" t="s">
        <v>1654</v>
      </c>
      <c r="D244" s="1" t="s">
        <v>1655</v>
      </c>
      <c r="E244" s="1" t="s">
        <v>3118</v>
      </c>
      <c r="F244" s="1" t="str">
        <f>"02181    "</f>
        <v xml:space="preserve">02181    </v>
      </c>
      <c r="G244" s="1" t="str">
        <f>"8002253950"</f>
        <v>8002253950</v>
      </c>
      <c r="H244" s="1" t="s">
        <v>2637</v>
      </c>
    </row>
    <row r="245" spans="1:8" x14ac:dyDescent="0.25">
      <c r="A245" s="1" t="str">
        <f>"343  "</f>
        <v xml:space="preserve">343  </v>
      </c>
      <c r="B245" s="1" t="s">
        <v>259</v>
      </c>
      <c r="C245" s="1" t="str">
        <f>"70 GRAND AVENUE                                   "</f>
        <v xml:space="preserve">70 GRAND AVENUE                                   </v>
      </c>
      <c r="D245" s="1" t="s">
        <v>260</v>
      </c>
      <c r="E245" s="1" t="s">
        <v>2821</v>
      </c>
      <c r="F245" s="1" t="str">
        <f>"07661    "</f>
        <v xml:space="preserve">07661    </v>
      </c>
      <c r="G245" s="1" t="str">
        <f>"2013433003"</f>
        <v>2013433003</v>
      </c>
      <c r="H245" s="1" t="s">
        <v>2637</v>
      </c>
    </row>
    <row r="246" spans="1:8" x14ac:dyDescent="0.25">
      <c r="A246" s="1" t="str">
        <f>"344  "</f>
        <v xml:space="preserve">344  </v>
      </c>
      <c r="B246" s="1" t="s">
        <v>61</v>
      </c>
      <c r="C246" s="1" t="s">
        <v>62</v>
      </c>
      <c r="D246" s="1" t="s">
        <v>2808</v>
      </c>
      <c r="E246" s="1" t="s">
        <v>2809</v>
      </c>
      <c r="F246" s="1" t="str">
        <f>"850689060"</f>
        <v>850689060</v>
      </c>
      <c r="G246" s="1" t="str">
        <f>"8008825707"</f>
        <v>8008825707</v>
      </c>
      <c r="H246" s="1" t="s">
        <v>3218</v>
      </c>
    </row>
    <row r="247" spans="1:8" x14ac:dyDescent="0.25">
      <c r="A247" s="1" t="str">
        <f>"345  "</f>
        <v xml:space="preserve">345  </v>
      </c>
      <c r="B247" s="1" t="s">
        <v>2286</v>
      </c>
      <c r="C247" s="1" t="s">
        <v>2287</v>
      </c>
      <c r="D247" s="1" t="s">
        <v>2740</v>
      </c>
      <c r="E247" s="1" t="s">
        <v>2660</v>
      </c>
      <c r="F247" s="1" t="str">
        <f>"29716    "</f>
        <v xml:space="preserve">29716    </v>
      </c>
      <c r="G247" s="1" t="str">
        <f>"8002421510"</f>
        <v>8002421510</v>
      </c>
      <c r="H247" s="1" t="s">
        <v>2637</v>
      </c>
    </row>
    <row r="248" spans="1:8" x14ac:dyDescent="0.25">
      <c r="A248" s="1" t="str">
        <f>"346  "</f>
        <v xml:space="preserve">346  </v>
      </c>
      <c r="B248" s="1" t="s">
        <v>2337</v>
      </c>
      <c r="C248" s="1" t="str">
        <f>"2187 NORTHLAKE PARKWAY SUITE 106  BLD #9          "</f>
        <v xml:space="preserve">2187 NORTHLAKE PARKWAY SUITE 106  BLD #9          </v>
      </c>
      <c r="D248" s="1" t="s">
        <v>2338</v>
      </c>
      <c r="E248" s="1" t="s">
        <v>2681</v>
      </c>
      <c r="F248" s="1" t="str">
        <f>"30084-   "</f>
        <v xml:space="preserve">30084-   </v>
      </c>
      <c r="G248" s="1" t="str">
        <f>"7709343953"</f>
        <v>7709343953</v>
      </c>
      <c r="H248" s="1" t="s">
        <v>2637</v>
      </c>
    </row>
    <row r="249" spans="1:8" x14ac:dyDescent="0.25">
      <c r="A249" s="1" t="str">
        <f>"347  "</f>
        <v xml:space="preserve">347  </v>
      </c>
      <c r="B249" s="1" t="s">
        <v>42</v>
      </c>
      <c r="C249" s="1" t="str">
        <f>"1300 VIRGINIA DIRVE SUITE 315                     "</f>
        <v xml:space="preserve">1300 VIRGINIA DIRVE SUITE 315                     </v>
      </c>
      <c r="D249" s="1" t="s">
        <v>43</v>
      </c>
      <c r="E249" s="1" t="s">
        <v>2697</v>
      </c>
      <c r="F249" s="1" t="str">
        <f>"19034    "</f>
        <v xml:space="preserve">19034    </v>
      </c>
      <c r="G249" s="1" t="str">
        <f>"8002223085"</f>
        <v>8002223085</v>
      </c>
      <c r="H249" s="1" t="s">
        <v>2637</v>
      </c>
    </row>
    <row r="250" spans="1:8" x14ac:dyDescent="0.25">
      <c r="A250" s="1" t="str">
        <f>"348  "</f>
        <v xml:space="preserve">348  </v>
      </c>
      <c r="B250" s="1" t="s">
        <v>467</v>
      </c>
      <c r="C250" s="1" t="str">
        <f>"5071 WEST H AVE                                   "</f>
        <v xml:space="preserve">5071 WEST H AVE                                   </v>
      </c>
      <c r="D250" s="1" t="s">
        <v>3173</v>
      </c>
      <c r="E250" s="1" t="s">
        <v>2644</v>
      </c>
      <c r="F250" s="1" t="str">
        <f>"490098501"</f>
        <v>490098501</v>
      </c>
      <c r="G250" s="1" t="str">
        <f>"2693816630"</f>
        <v>2693816630</v>
      </c>
      <c r="H250" s="1" t="s">
        <v>468</v>
      </c>
    </row>
    <row r="251" spans="1:8" x14ac:dyDescent="0.25">
      <c r="A251" s="1" t="str">
        <f>"349  "</f>
        <v xml:space="preserve">349  </v>
      </c>
      <c r="B251" s="1" t="s">
        <v>1073</v>
      </c>
      <c r="C251" s="1" t="s">
        <v>1074</v>
      </c>
      <c r="D251" s="1" t="s">
        <v>3085</v>
      </c>
      <c r="E251" s="1" t="s">
        <v>3086</v>
      </c>
      <c r="F251" s="1" t="str">
        <f>"352382767"</f>
        <v>352382767</v>
      </c>
      <c r="G251" s="1" t="str">
        <f>"8002936260"</f>
        <v>8002936260</v>
      </c>
      <c r="H251" s="1" t="s">
        <v>2637</v>
      </c>
    </row>
    <row r="252" spans="1:8" x14ac:dyDescent="0.25">
      <c r="A252" s="1" t="str">
        <f>"350  "</f>
        <v xml:space="preserve">350  </v>
      </c>
      <c r="B252" s="1" t="s">
        <v>3155</v>
      </c>
      <c r="C252" s="1" t="s">
        <v>3156</v>
      </c>
      <c r="D252" s="1" t="s">
        <v>3157</v>
      </c>
      <c r="E252" s="1" t="s">
        <v>2970</v>
      </c>
      <c r="F252" s="1" t="str">
        <f>"37203    "</f>
        <v xml:space="preserve">37203    </v>
      </c>
      <c r="G252" s="1" t="str">
        <f>"6152563561"</f>
        <v>6152563561</v>
      </c>
      <c r="H252" s="1" t="s">
        <v>2637</v>
      </c>
    </row>
    <row r="253" spans="1:8" x14ac:dyDescent="0.25">
      <c r="A253" s="1" t="str">
        <f>"351  "</f>
        <v xml:space="preserve">351  </v>
      </c>
      <c r="B253" s="1" t="s">
        <v>2349</v>
      </c>
      <c r="C253" s="1" t="s">
        <v>2350</v>
      </c>
      <c r="D253" s="1" t="s">
        <v>2351</v>
      </c>
      <c r="E253" s="1" t="s">
        <v>2667</v>
      </c>
      <c r="F253" s="1" t="str">
        <f>"544028077"</f>
        <v>544028077</v>
      </c>
      <c r="G253" s="1" t="str">
        <f>"8666848090"</f>
        <v>8666848090</v>
      </c>
      <c r="H253" s="1" t="s">
        <v>2648</v>
      </c>
    </row>
    <row r="254" spans="1:8" x14ac:dyDescent="0.25">
      <c r="A254" s="1" t="str">
        <f>"352  "</f>
        <v xml:space="preserve">352  </v>
      </c>
      <c r="B254" s="1" t="s">
        <v>2232</v>
      </c>
      <c r="C254" s="1" t="s">
        <v>2233</v>
      </c>
      <c r="D254" s="1" t="s">
        <v>2234</v>
      </c>
      <c r="E254" s="1" t="s">
        <v>2826</v>
      </c>
      <c r="F254" s="1" t="str">
        <f>"810020720"</f>
        <v>810020720</v>
      </c>
      <c r="G254" s="1" t="str">
        <f>"8004468182"</f>
        <v>8004468182</v>
      </c>
      <c r="H254" s="1" t="s">
        <v>3218</v>
      </c>
    </row>
    <row r="255" spans="1:8" x14ac:dyDescent="0.25">
      <c r="A255" s="1" t="str">
        <f>"353  "</f>
        <v xml:space="preserve">353  </v>
      </c>
      <c r="B255" s="1" t="s">
        <v>1453</v>
      </c>
      <c r="C255" s="1" t="s">
        <v>1454</v>
      </c>
      <c r="D255" s="1" t="s">
        <v>1455</v>
      </c>
      <c r="E255" s="1" t="s">
        <v>2660</v>
      </c>
      <c r="F255" s="1" t="str">
        <f>"29419    "</f>
        <v xml:space="preserve">29419    </v>
      </c>
      <c r="G255" s="1" t="str">
        <f>"8003149010"</f>
        <v>8003149010</v>
      </c>
      <c r="H255" s="1" t="s">
        <v>2688</v>
      </c>
    </row>
    <row r="256" spans="1:8" x14ac:dyDescent="0.25">
      <c r="A256" s="1" t="str">
        <f>"354  "</f>
        <v xml:space="preserve">354  </v>
      </c>
      <c r="B256" s="1" t="s">
        <v>2879</v>
      </c>
      <c r="C256" s="1" t="s">
        <v>2880</v>
      </c>
      <c r="D256" s="1" t="s">
        <v>2659</v>
      </c>
      <c r="E256" s="1" t="s">
        <v>2706</v>
      </c>
      <c r="F256" s="1" t="str">
        <f>"46015    "</f>
        <v xml:space="preserve">46015    </v>
      </c>
      <c r="G256" s="1" t="s">
        <v>2637</v>
      </c>
      <c r="H256" s="1" t="s">
        <v>2688</v>
      </c>
    </row>
    <row r="257" spans="1:8" x14ac:dyDescent="0.25">
      <c r="A257" s="1" t="str">
        <f>"355  "</f>
        <v xml:space="preserve">355  </v>
      </c>
      <c r="B257" s="1" t="s">
        <v>1982</v>
      </c>
      <c r="C257" s="1" t="str">
        <f>"4350 E. CAMELBACK RD. # 200                       "</f>
        <v xml:space="preserve">4350 E. CAMELBACK RD. # 200                       </v>
      </c>
      <c r="D257" s="1" t="s">
        <v>2808</v>
      </c>
      <c r="E257" s="1" t="s">
        <v>2809</v>
      </c>
      <c r="F257" s="1" t="str">
        <f>"85018    "</f>
        <v xml:space="preserve">85018    </v>
      </c>
      <c r="G257" s="1" t="str">
        <f>"6024689500"</f>
        <v>6024689500</v>
      </c>
      <c r="H257" s="1" t="s">
        <v>2637</v>
      </c>
    </row>
    <row r="258" spans="1:8" x14ac:dyDescent="0.25">
      <c r="A258" s="1" t="str">
        <f>"356  "</f>
        <v xml:space="preserve">356  </v>
      </c>
      <c r="B258" s="1" t="s">
        <v>3025</v>
      </c>
      <c r="C258" s="1" t="s">
        <v>2334</v>
      </c>
      <c r="D258" s="1" t="s">
        <v>2335</v>
      </c>
      <c r="E258" s="1" t="s">
        <v>2749</v>
      </c>
      <c r="F258" s="1" t="str">
        <f>"67201    "</f>
        <v xml:space="preserve">67201    </v>
      </c>
      <c r="G258" s="1" t="str">
        <f>"8008269781"</f>
        <v>8008269781</v>
      </c>
      <c r="H258" s="1" t="s">
        <v>2336</v>
      </c>
    </row>
    <row r="259" spans="1:8" x14ac:dyDescent="0.25">
      <c r="A259" s="1" t="str">
        <f>"357  "</f>
        <v xml:space="preserve">357  </v>
      </c>
      <c r="B259" s="1" t="s">
        <v>146</v>
      </c>
      <c r="C259" s="1" t="s">
        <v>147</v>
      </c>
      <c r="D259" s="1" t="s">
        <v>2981</v>
      </c>
      <c r="E259" s="1" t="s">
        <v>2832</v>
      </c>
      <c r="F259" s="1" t="str">
        <f>"33630-   "</f>
        <v xml:space="preserve">33630-   </v>
      </c>
      <c r="G259" s="1" t="str">
        <f>"8002377767"</f>
        <v>8002377767</v>
      </c>
      <c r="H259" s="1" t="s">
        <v>2637</v>
      </c>
    </row>
    <row r="260" spans="1:8" x14ac:dyDescent="0.25">
      <c r="A260" s="1" t="str">
        <f>"358  "</f>
        <v xml:space="preserve">358  </v>
      </c>
      <c r="B260" s="1" t="s">
        <v>1894</v>
      </c>
      <c r="C260" s="1" t="str">
        <f>"10401 CONNECTICUT AVE STE 300                     "</f>
        <v xml:space="preserve">10401 CONNECTICUT AVE STE 300                     </v>
      </c>
      <c r="D260" s="1" t="s">
        <v>1895</v>
      </c>
      <c r="E260" s="1" t="s">
        <v>2647</v>
      </c>
      <c r="F260" s="1" t="str">
        <f>"208953960"</f>
        <v>208953960</v>
      </c>
      <c r="G260" s="1" t="str">
        <f>"3014683742"</f>
        <v>3014683742</v>
      </c>
      <c r="H260" s="1" t="s">
        <v>2637</v>
      </c>
    </row>
    <row r="261" spans="1:8" x14ac:dyDescent="0.25">
      <c r="A261" s="1" t="str">
        <f>"359  "</f>
        <v xml:space="preserve">359  </v>
      </c>
      <c r="B261" s="1" t="s">
        <v>2675</v>
      </c>
      <c r="C261" s="1" t="str">
        <f>"411 W. CHAPEL HILL STREET                         "</f>
        <v xml:space="preserve">411 W. CHAPEL HILL STREET                         </v>
      </c>
      <c r="D261" s="1" t="s">
        <v>2676</v>
      </c>
      <c r="E261" s="1" t="s">
        <v>2677</v>
      </c>
      <c r="F261" s="1" t="str">
        <f>"27701    "</f>
        <v xml:space="preserve">27701    </v>
      </c>
      <c r="G261" s="1" t="str">
        <f>"9196829201"</f>
        <v>9196829201</v>
      </c>
      <c r="H261" s="1" t="s">
        <v>2637</v>
      </c>
    </row>
    <row r="262" spans="1:8" x14ac:dyDescent="0.25">
      <c r="A262" s="1" t="str">
        <f>"360  "</f>
        <v xml:space="preserve">360  </v>
      </c>
      <c r="B262" s="1" t="s">
        <v>1832</v>
      </c>
      <c r="C262" s="1" t="s">
        <v>1454</v>
      </c>
      <c r="D262" s="1" t="s">
        <v>1833</v>
      </c>
      <c r="E262" s="1" t="s">
        <v>2660</v>
      </c>
      <c r="F262" s="1" t="str">
        <f>"29419    "</f>
        <v xml:space="preserve">29419    </v>
      </c>
      <c r="G262" s="1" t="str">
        <f>"8004087681"</f>
        <v>8004087681</v>
      </c>
      <c r="H262" s="1" t="s">
        <v>1834</v>
      </c>
    </row>
    <row r="263" spans="1:8" x14ac:dyDescent="0.25">
      <c r="A263" s="1" t="str">
        <f>"361  "</f>
        <v xml:space="preserve">361  </v>
      </c>
      <c r="B263" s="1" t="s">
        <v>1347</v>
      </c>
      <c r="C263" s="1" t="str">
        <f>"822 HIGHWAY A1A NORTH STE 310                     "</f>
        <v xml:space="preserve">822 HIGHWAY A1A NORTH STE 310                     </v>
      </c>
      <c r="D263" s="1" t="s">
        <v>1348</v>
      </c>
      <c r="E263" s="1" t="s">
        <v>2832</v>
      </c>
      <c r="F263" s="1" t="str">
        <f>"32082    "</f>
        <v xml:space="preserve">32082    </v>
      </c>
      <c r="G263" s="1" t="str">
        <f>"8008416288"</f>
        <v>8008416288</v>
      </c>
      <c r="H263" s="1" t="s">
        <v>2688</v>
      </c>
    </row>
    <row r="264" spans="1:8" x14ac:dyDescent="0.25">
      <c r="A264" s="1" t="str">
        <f>"362  "</f>
        <v xml:space="preserve">362  </v>
      </c>
      <c r="B264" s="1" t="s">
        <v>2081</v>
      </c>
      <c r="C264" s="1" t="s">
        <v>2082</v>
      </c>
      <c r="D264" s="1" t="s">
        <v>2083</v>
      </c>
      <c r="E264" s="1" t="s">
        <v>2697</v>
      </c>
      <c r="F264" s="1" t="str">
        <f>"18505    "</f>
        <v xml:space="preserve">18505    </v>
      </c>
      <c r="G264" s="1" t="str">
        <f>"8668501253"</f>
        <v>8668501253</v>
      </c>
      <c r="H264" s="1" t="s">
        <v>2795</v>
      </c>
    </row>
    <row r="265" spans="1:8" x14ac:dyDescent="0.25">
      <c r="A265" s="1" t="str">
        <f>"363  "</f>
        <v xml:space="preserve">363  </v>
      </c>
      <c r="B265" s="1" t="s">
        <v>1725</v>
      </c>
      <c r="C265" s="1" t="s">
        <v>1726</v>
      </c>
      <c r="D265" s="1" t="s">
        <v>3294</v>
      </c>
      <c r="E265" s="1" t="s">
        <v>2660</v>
      </c>
      <c r="F265" s="1" t="str">
        <f>"29503    "</f>
        <v xml:space="preserve">29503    </v>
      </c>
      <c r="G265" s="1" t="str">
        <f>"8886226001"</f>
        <v>8886226001</v>
      </c>
      <c r="H265" s="1" t="s">
        <v>1727</v>
      </c>
    </row>
    <row r="266" spans="1:8" x14ac:dyDescent="0.25">
      <c r="A266" s="1" t="str">
        <f>"364  "</f>
        <v xml:space="preserve">364  </v>
      </c>
      <c r="B266" s="1" t="s">
        <v>615</v>
      </c>
      <c r="C266" s="1" t="s">
        <v>616</v>
      </c>
      <c r="D266" s="1" t="s">
        <v>2901</v>
      </c>
      <c r="E266" s="1" t="s">
        <v>2902</v>
      </c>
      <c r="F266" s="1" t="str">
        <f>"55440    "</f>
        <v xml:space="preserve">55440    </v>
      </c>
      <c r="G266" s="1" t="str">
        <f>"8004446965"</f>
        <v>8004446965</v>
      </c>
      <c r="H266" s="1" t="s">
        <v>2637</v>
      </c>
    </row>
    <row r="267" spans="1:8" x14ac:dyDescent="0.25">
      <c r="A267" s="1" t="str">
        <f>"365  "</f>
        <v xml:space="preserve">365  </v>
      </c>
      <c r="B267" s="1" t="s">
        <v>2235</v>
      </c>
      <c r="C267" s="1" t="s">
        <v>2236</v>
      </c>
      <c r="D267" s="1" t="s">
        <v>2710</v>
      </c>
      <c r="E267" s="1" t="s">
        <v>2660</v>
      </c>
      <c r="F267" s="1" t="str">
        <f>"29602    "</f>
        <v xml:space="preserve">29602    </v>
      </c>
      <c r="G267" s="1" t="str">
        <f>"8649875200"</f>
        <v>8649875200</v>
      </c>
      <c r="H267" s="1" t="s">
        <v>2637</v>
      </c>
    </row>
    <row r="268" spans="1:8" x14ac:dyDescent="0.25">
      <c r="A268" s="1" t="str">
        <f>"366  "</f>
        <v xml:space="preserve">366  </v>
      </c>
      <c r="B268" s="1" t="s">
        <v>1329</v>
      </c>
      <c r="C268" s="1" t="s">
        <v>1330</v>
      </c>
      <c r="D268" s="1" t="s">
        <v>2755</v>
      </c>
      <c r="E268" s="1" t="s">
        <v>2647</v>
      </c>
      <c r="F268" s="1" t="str">
        <f>"20849    "</f>
        <v xml:space="preserve">20849    </v>
      </c>
      <c r="G268" s="1" t="str">
        <f>"8009973784"</f>
        <v>8009973784</v>
      </c>
      <c r="H268" s="1" t="s">
        <v>2637</v>
      </c>
    </row>
    <row r="269" spans="1:8" x14ac:dyDescent="0.25">
      <c r="A269" s="1" t="str">
        <f>"367  "</f>
        <v xml:space="preserve">367  </v>
      </c>
      <c r="B269" s="1" t="s">
        <v>2839</v>
      </c>
      <c r="C269" s="1" t="s">
        <v>2840</v>
      </c>
      <c r="D269" s="1" t="s">
        <v>2841</v>
      </c>
      <c r="E269" s="1" t="s">
        <v>2697</v>
      </c>
      <c r="F269" s="1" t="str">
        <f>"196107011"</f>
        <v>196107011</v>
      </c>
      <c r="G269" s="1" t="str">
        <f>"8007820392"</f>
        <v>8007820392</v>
      </c>
      <c r="H269" s="1" t="s">
        <v>2637</v>
      </c>
    </row>
    <row r="270" spans="1:8" x14ac:dyDescent="0.25">
      <c r="A270" s="1" t="str">
        <f>"368  "</f>
        <v xml:space="preserve">368  </v>
      </c>
      <c r="B270" s="1" t="s">
        <v>781</v>
      </c>
      <c r="C270" s="1" t="s">
        <v>782</v>
      </c>
      <c r="D270" s="1" t="s">
        <v>3217</v>
      </c>
      <c r="E270" s="1" t="s">
        <v>2706</v>
      </c>
      <c r="F270" s="1" t="str">
        <f>"46601    "</f>
        <v xml:space="preserve">46601    </v>
      </c>
      <c r="G270" s="1" t="str">
        <f>"2192370560"</f>
        <v>2192370560</v>
      </c>
      <c r="H270" s="1" t="s">
        <v>2637</v>
      </c>
    </row>
    <row r="271" spans="1:8" x14ac:dyDescent="0.25">
      <c r="A271" s="1" t="str">
        <f>"369  "</f>
        <v xml:space="preserve">369  </v>
      </c>
      <c r="B271" s="1" t="s">
        <v>886</v>
      </c>
      <c r="C271" s="1" t="s">
        <v>887</v>
      </c>
      <c r="D271" s="1" t="s">
        <v>2199</v>
      </c>
      <c r="E271" s="1" t="s">
        <v>2200</v>
      </c>
      <c r="F271" s="1" t="str">
        <f>"19899    "</f>
        <v xml:space="preserve">19899    </v>
      </c>
      <c r="G271" s="1" t="str">
        <f>"8004687077"</f>
        <v>8004687077</v>
      </c>
      <c r="H271" s="1" t="s">
        <v>2637</v>
      </c>
    </row>
    <row r="272" spans="1:8" x14ac:dyDescent="0.25">
      <c r="A272" s="1" t="str">
        <f>"370  "</f>
        <v xml:space="preserve">370  </v>
      </c>
      <c r="B272" s="1" t="s">
        <v>1105</v>
      </c>
      <c r="C272" s="1" t="s">
        <v>1106</v>
      </c>
      <c r="D272" s="1" t="s">
        <v>1107</v>
      </c>
      <c r="E272" s="1" t="s">
        <v>2674</v>
      </c>
      <c r="F272" s="1" t="str">
        <f>"84109    "</f>
        <v xml:space="preserve">84109    </v>
      </c>
      <c r="G272" s="1" t="str">
        <f>"8774740605"</f>
        <v>8774740605</v>
      </c>
      <c r="H272" s="1" t="s">
        <v>1108</v>
      </c>
    </row>
    <row r="273" spans="1:8" x14ac:dyDescent="0.25">
      <c r="A273" s="1" t="str">
        <f>"371  "</f>
        <v xml:space="preserve">371  </v>
      </c>
      <c r="B273" s="1" t="s">
        <v>1313</v>
      </c>
      <c r="C273" s="1" t="s">
        <v>2530</v>
      </c>
      <c r="D273" s="1" t="s">
        <v>2531</v>
      </c>
      <c r="E273" s="1" t="s">
        <v>2636</v>
      </c>
      <c r="F273" s="1" t="str">
        <f>"794533070"</f>
        <v>794533070</v>
      </c>
      <c r="G273" s="1" t="str">
        <f>"8006589777"</f>
        <v>8006589777</v>
      </c>
      <c r="H273" s="1" t="s">
        <v>2637</v>
      </c>
    </row>
    <row r="274" spans="1:8" x14ac:dyDescent="0.25">
      <c r="A274" s="1" t="str">
        <f>"372  "</f>
        <v xml:space="preserve">372  </v>
      </c>
      <c r="B274" s="1" t="s">
        <v>17</v>
      </c>
      <c r="C274" s="1" t="str">
        <f>"502 VALLEY ROAD                                   "</f>
        <v xml:space="preserve">502 VALLEY ROAD                                   </v>
      </c>
      <c r="D274" s="1" t="s">
        <v>2389</v>
      </c>
      <c r="E274" s="1" t="s">
        <v>2821</v>
      </c>
      <c r="F274" s="1" t="str">
        <f>"07410    "</f>
        <v xml:space="preserve">07410    </v>
      </c>
      <c r="G274" s="1" t="str">
        <f>"9736963111"</f>
        <v>9736963111</v>
      </c>
      <c r="H274" s="1" t="s">
        <v>2637</v>
      </c>
    </row>
    <row r="275" spans="1:8" x14ac:dyDescent="0.25">
      <c r="A275" s="1" t="str">
        <f>"373  "</f>
        <v xml:space="preserve">373  </v>
      </c>
      <c r="B275" s="1" t="s">
        <v>2830</v>
      </c>
      <c r="C275" s="1" t="str">
        <f>"7401 CYPRESS GARDENS BLVD                         "</f>
        <v xml:space="preserve">7401 CYPRESS GARDENS BLVD                         </v>
      </c>
      <c r="D275" s="1" t="s">
        <v>2831</v>
      </c>
      <c r="E275" s="1" t="s">
        <v>2832</v>
      </c>
      <c r="F275" s="1" t="str">
        <f>"338880007"</f>
        <v>338880007</v>
      </c>
      <c r="G275" s="1" t="str">
        <f>"8633183000"</f>
        <v>8633183000</v>
      </c>
      <c r="H275" s="1" t="s">
        <v>2637</v>
      </c>
    </row>
    <row r="276" spans="1:8" x14ac:dyDescent="0.25">
      <c r="A276" s="1" t="str">
        <f>"374  "</f>
        <v xml:space="preserve">374  </v>
      </c>
      <c r="B276" s="1" t="s">
        <v>2623</v>
      </c>
      <c r="C276" s="1" t="str">
        <f>"2700 W. PLANO PARKWAY                             "</f>
        <v xml:space="preserve">2700 W. PLANO PARKWAY                             </v>
      </c>
      <c r="D276" s="1" t="s">
        <v>2074</v>
      </c>
      <c r="E276" s="1" t="s">
        <v>2636</v>
      </c>
      <c r="F276" s="1" t="str">
        <f>"75075    "</f>
        <v xml:space="preserve">75075    </v>
      </c>
      <c r="G276" s="1" t="str">
        <f>"8003319955"</f>
        <v>8003319955</v>
      </c>
      <c r="H276" s="1" t="s">
        <v>2637</v>
      </c>
    </row>
    <row r="277" spans="1:8" x14ac:dyDescent="0.25">
      <c r="A277" s="1" t="str">
        <f>"375  "</f>
        <v xml:space="preserve">375  </v>
      </c>
      <c r="B277" s="1" t="s">
        <v>3165</v>
      </c>
      <c r="C277" s="1" t="str">
        <f>"11900 WEST LAKE PARK DRIVE                        "</f>
        <v xml:space="preserve">11900 WEST LAKE PARK DRIVE                        </v>
      </c>
      <c r="D277" s="1" t="s">
        <v>3166</v>
      </c>
      <c r="E277" s="1" t="s">
        <v>2667</v>
      </c>
      <c r="F277" s="1" t="str">
        <f>"53224    "</f>
        <v xml:space="preserve">53224    </v>
      </c>
      <c r="G277" s="1" t="str">
        <f>"8002481062"</f>
        <v>8002481062</v>
      </c>
      <c r="H277" s="1" t="s">
        <v>2637</v>
      </c>
    </row>
    <row r="278" spans="1:8" x14ac:dyDescent="0.25">
      <c r="A278" s="1" t="str">
        <f>"376  "</f>
        <v xml:space="preserve">376  </v>
      </c>
      <c r="B278" s="1" t="s">
        <v>98</v>
      </c>
      <c r="C278" s="1" t="s">
        <v>99</v>
      </c>
      <c r="D278" s="1" t="s">
        <v>100</v>
      </c>
      <c r="E278" s="1" t="s">
        <v>3118</v>
      </c>
      <c r="F278" s="1" t="str">
        <f>"024719171"</f>
        <v>024719171</v>
      </c>
      <c r="G278" s="1" t="str">
        <f>"8004620224"</f>
        <v>8004620224</v>
      </c>
      <c r="H278" s="1" t="s">
        <v>2688</v>
      </c>
    </row>
    <row r="279" spans="1:8" x14ac:dyDescent="0.25">
      <c r="A279" s="1" t="str">
        <f>"377  "</f>
        <v xml:space="preserve">377  </v>
      </c>
      <c r="B279" s="1" t="s">
        <v>737</v>
      </c>
      <c r="C279" s="1" t="s">
        <v>738</v>
      </c>
      <c r="D279" s="1" t="s">
        <v>2061</v>
      </c>
      <c r="E279" s="1" t="s">
        <v>2636</v>
      </c>
      <c r="F279" s="1" t="str">
        <f>"75085    "</f>
        <v xml:space="preserve">75085    </v>
      </c>
      <c r="G279" s="1" t="str">
        <f>"7163195399"</f>
        <v>7163195399</v>
      </c>
      <c r="H279" s="1" t="s">
        <v>739</v>
      </c>
    </row>
    <row r="280" spans="1:8" x14ac:dyDescent="0.25">
      <c r="A280" s="1" t="str">
        <f>"378  "</f>
        <v xml:space="preserve">378  </v>
      </c>
      <c r="B280" s="1" t="s">
        <v>2117</v>
      </c>
      <c r="C280" s="1" t="str">
        <f>"2218 SOUTH PRIEST DRIVE                           "</f>
        <v xml:space="preserve">2218 SOUTH PRIEST DRIVE                           </v>
      </c>
      <c r="D280" s="1" t="s">
        <v>2118</v>
      </c>
      <c r="E280" s="1" t="s">
        <v>2809</v>
      </c>
      <c r="F280" s="1" t="str">
        <f>"85282    "</f>
        <v xml:space="preserve">85282    </v>
      </c>
      <c r="G280" s="1" t="s">
        <v>2637</v>
      </c>
      <c r="H280" s="1" t="s">
        <v>2637</v>
      </c>
    </row>
    <row r="281" spans="1:8" x14ac:dyDescent="0.25">
      <c r="A281" s="1" t="str">
        <f>"379  "</f>
        <v xml:space="preserve">379  </v>
      </c>
      <c r="B281" s="1" t="s">
        <v>2719</v>
      </c>
      <c r="C281" s="1" t="s">
        <v>2720</v>
      </c>
      <c r="D281" s="1" t="s">
        <v>2721</v>
      </c>
      <c r="E281" s="1" t="s">
        <v>2714</v>
      </c>
      <c r="F281" s="1" t="str">
        <f>"44309    "</f>
        <v xml:space="preserve">44309    </v>
      </c>
      <c r="G281" s="1" t="str">
        <f>"2167966531"</f>
        <v>2167966531</v>
      </c>
      <c r="H281" s="1" t="s">
        <v>2637</v>
      </c>
    </row>
    <row r="282" spans="1:8" x14ac:dyDescent="0.25">
      <c r="A282" s="1" t="str">
        <f>"380  "</f>
        <v xml:space="preserve">380  </v>
      </c>
      <c r="B282" s="1" t="s">
        <v>1496</v>
      </c>
      <c r="C282" s="1" t="s">
        <v>1497</v>
      </c>
      <c r="D282" s="1" t="s">
        <v>3160</v>
      </c>
      <c r="E282" s="1" t="s">
        <v>3161</v>
      </c>
      <c r="F282" s="1" t="str">
        <f>"39236    "</f>
        <v xml:space="preserve">39236    </v>
      </c>
      <c r="G282" s="1" t="str">
        <f>"6013660596"</f>
        <v>6013660596</v>
      </c>
      <c r="H282" s="1" t="s">
        <v>2637</v>
      </c>
    </row>
    <row r="283" spans="1:8" x14ac:dyDescent="0.25">
      <c r="A283" s="1" t="str">
        <f>"381  "</f>
        <v xml:space="preserve">381  </v>
      </c>
      <c r="B283" s="1" t="s">
        <v>565</v>
      </c>
      <c r="C283" s="1" t="s">
        <v>566</v>
      </c>
      <c r="D283" s="1" t="s">
        <v>567</v>
      </c>
      <c r="E283" s="1" t="s">
        <v>2697</v>
      </c>
      <c r="F283" s="1" t="str">
        <f>"19404    "</f>
        <v xml:space="preserve">19404    </v>
      </c>
      <c r="G283" s="1" t="str">
        <f>"8005199175"</f>
        <v>8005199175</v>
      </c>
      <c r="H283" s="1" t="s">
        <v>2637</v>
      </c>
    </row>
    <row r="284" spans="1:8" x14ac:dyDescent="0.25">
      <c r="A284" s="1" t="str">
        <f>"382  "</f>
        <v xml:space="preserve">382  </v>
      </c>
      <c r="B284" s="1" t="s">
        <v>2438</v>
      </c>
      <c r="C284" s="1" t="s">
        <v>2439</v>
      </c>
      <c r="D284" s="1" t="s">
        <v>2195</v>
      </c>
      <c r="E284" s="1" t="s">
        <v>2196</v>
      </c>
      <c r="F284" s="1" t="str">
        <f>"891145615"</f>
        <v>891145615</v>
      </c>
      <c r="G284" s="1" t="str">
        <f>"8007771840"</f>
        <v>8007771840</v>
      </c>
      <c r="H284" s="1" t="s">
        <v>2795</v>
      </c>
    </row>
    <row r="285" spans="1:8" x14ac:dyDescent="0.25">
      <c r="A285" s="1" t="str">
        <f>"383  "</f>
        <v xml:space="preserve">383  </v>
      </c>
      <c r="B285" s="1" t="s">
        <v>363</v>
      </c>
      <c r="C285" s="1" t="s">
        <v>364</v>
      </c>
      <c r="D285" s="1" t="s">
        <v>2685</v>
      </c>
      <c r="E285" s="1" t="s">
        <v>2670</v>
      </c>
      <c r="F285" s="1" t="str">
        <f>"641140530"</f>
        <v>641140530</v>
      </c>
      <c r="G285" s="1" t="str">
        <f>"8772840102"</f>
        <v>8772840102</v>
      </c>
      <c r="H285" s="1" t="s">
        <v>2637</v>
      </c>
    </row>
    <row r="286" spans="1:8" x14ac:dyDescent="0.25">
      <c r="A286" s="1" t="str">
        <f>"384  "</f>
        <v xml:space="preserve">384  </v>
      </c>
      <c r="B286" s="1" t="s">
        <v>2264</v>
      </c>
      <c r="C286" s="1" t="s">
        <v>2265</v>
      </c>
      <c r="D286" s="1" t="s">
        <v>2713</v>
      </c>
      <c r="E286" s="1" t="s">
        <v>2714</v>
      </c>
      <c r="F286" s="1" t="str">
        <f>"441014928"</f>
        <v>441014928</v>
      </c>
      <c r="G286" s="1" t="str">
        <f>"8003214085"</f>
        <v>8003214085</v>
      </c>
      <c r="H286" s="1" t="s">
        <v>2637</v>
      </c>
    </row>
    <row r="287" spans="1:8" x14ac:dyDescent="0.25">
      <c r="A287" s="1" t="str">
        <f>"385  "</f>
        <v xml:space="preserve">385  </v>
      </c>
      <c r="B287" s="1" t="s">
        <v>319</v>
      </c>
      <c r="C287" s="1" t="str">
        <f>"1019 N. ROYAL STREET                              "</f>
        <v xml:space="preserve">1019 N. ROYAL STREET                              </v>
      </c>
      <c r="D287" s="1" t="s">
        <v>320</v>
      </c>
      <c r="E287" s="1" t="s">
        <v>3164</v>
      </c>
      <c r="F287" s="1" t="str">
        <f>"22314    "</f>
        <v xml:space="preserve">22314    </v>
      </c>
      <c r="G287" s="1" t="str">
        <f>"7036835585"</f>
        <v>7036835585</v>
      </c>
      <c r="H287" s="1" t="s">
        <v>2637</v>
      </c>
    </row>
    <row r="288" spans="1:8" x14ac:dyDescent="0.25">
      <c r="A288" s="1" t="str">
        <f>"386  "</f>
        <v xml:space="preserve">386  </v>
      </c>
      <c r="B288" s="1" t="s">
        <v>2266</v>
      </c>
      <c r="C288" s="1" t="s">
        <v>2267</v>
      </c>
      <c r="D288" s="1" t="s">
        <v>3263</v>
      </c>
      <c r="E288" s="1" t="s">
        <v>3264</v>
      </c>
      <c r="F288" s="1" t="str">
        <f>"527332806"</f>
        <v>527332806</v>
      </c>
      <c r="G288" s="1" t="str">
        <f>"8005537654"</f>
        <v>8005537654</v>
      </c>
      <c r="H288" s="1" t="s">
        <v>2268</v>
      </c>
    </row>
    <row r="289" spans="1:8" x14ac:dyDescent="0.25">
      <c r="A289" s="1" t="str">
        <f>"387  "</f>
        <v xml:space="preserve">387  </v>
      </c>
      <c r="B289" s="1" t="s">
        <v>367</v>
      </c>
      <c r="C289" s="1" t="s">
        <v>368</v>
      </c>
      <c r="D289" s="1" t="s">
        <v>2906</v>
      </c>
      <c r="E289" s="1" t="s">
        <v>2677</v>
      </c>
      <c r="F289" s="1" t="str">
        <f>"28220    "</f>
        <v xml:space="preserve">28220    </v>
      </c>
      <c r="G289" s="1" t="str">
        <f>"7045232758"</f>
        <v>7045232758</v>
      </c>
      <c r="H289" s="1" t="s">
        <v>2637</v>
      </c>
    </row>
    <row r="290" spans="1:8" x14ac:dyDescent="0.25">
      <c r="A290" s="1" t="str">
        <f>"388  "</f>
        <v xml:space="preserve">388  </v>
      </c>
      <c r="B290" s="1" t="s">
        <v>2400</v>
      </c>
      <c r="C290" s="1" t="s">
        <v>2401</v>
      </c>
      <c r="D290" s="1" t="s">
        <v>2635</v>
      </c>
      <c r="E290" s="1" t="s">
        <v>2636</v>
      </c>
      <c r="F290" s="1" t="str">
        <f>"77268    "</f>
        <v xml:space="preserve">77268    </v>
      </c>
      <c r="G290" s="1" t="str">
        <f>"8008107856"</f>
        <v>8008107856</v>
      </c>
      <c r="H290" s="1" t="s">
        <v>2637</v>
      </c>
    </row>
    <row r="291" spans="1:8" x14ac:dyDescent="0.25">
      <c r="A291" s="1" t="str">
        <f>"389  "</f>
        <v xml:space="preserve">389  </v>
      </c>
      <c r="B291" s="1" t="s">
        <v>563</v>
      </c>
      <c r="C291" s="1" t="s">
        <v>564</v>
      </c>
      <c r="D291" s="1" t="s">
        <v>2705</v>
      </c>
      <c r="E291" s="1" t="s">
        <v>2706</v>
      </c>
      <c r="F291" s="1" t="str">
        <f>"46220    "</f>
        <v xml:space="preserve">46220    </v>
      </c>
      <c r="G291" s="1" t="str">
        <f>"8003597408"</f>
        <v>8003597408</v>
      </c>
      <c r="H291" s="1" t="s">
        <v>2637</v>
      </c>
    </row>
    <row r="292" spans="1:8" x14ac:dyDescent="0.25">
      <c r="A292" s="1" t="str">
        <f>"390  "</f>
        <v xml:space="preserve">390  </v>
      </c>
      <c r="B292" s="1" t="s">
        <v>892</v>
      </c>
      <c r="C292" s="1" t="s">
        <v>893</v>
      </c>
      <c r="D292" s="1" t="s">
        <v>2901</v>
      </c>
      <c r="E292" s="1" t="s">
        <v>2902</v>
      </c>
      <c r="F292" s="1" t="str">
        <f>"554590093"</f>
        <v>554590093</v>
      </c>
      <c r="G292" s="1" t="str">
        <f>"6123337651"</f>
        <v>6123337651</v>
      </c>
      <c r="H292" s="1" t="s">
        <v>2637</v>
      </c>
    </row>
    <row r="293" spans="1:8" x14ac:dyDescent="0.25">
      <c r="A293" s="1" t="str">
        <f>"391  "</f>
        <v xml:space="preserve">391  </v>
      </c>
      <c r="B293" s="1" t="s">
        <v>576</v>
      </c>
      <c r="C293" s="1" t="s">
        <v>577</v>
      </c>
      <c r="D293" s="1" t="s">
        <v>727</v>
      </c>
      <c r="E293" s="1" t="s">
        <v>2773</v>
      </c>
      <c r="F293" s="1" t="str">
        <f>"13217    "</f>
        <v xml:space="preserve">13217    </v>
      </c>
      <c r="G293" s="1" t="str">
        <f>"8002344393"</f>
        <v>8002344393</v>
      </c>
      <c r="H293" s="1" t="s">
        <v>2637</v>
      </c>
    </row>
    <row r="294" spans="1:8" x14ac:dyDescent="0.25">
      <c r="A294" s="1" t="str">
        <f>"392  "</f>
        <v xml:space="preserve">392  </v>
      </c>
      <c r="B294" s="1" t="s">
        <v>3171</v>
      </c>
      <c r="C294" s="1" t="s">
        <v>3172</v>
      </c>
      <c r="D294" s="1" t="s">
        <v>3173</v>
      </c>
      <c r="E294" s="1" t="s">
        <v>2644</v>
      </c>
      <c r="F294" s="1" t="str">
        <f>"490051790"</f>
        <v>490051790</v>
      </c>
      <c r="G294" s="1" t="str">
        <f>"8003421895"</f>
        <v>8003421895</v>
      </c>
      <c r="H294" s="1" t="s">
        <v>2637</v>
      </c>
    </row>
    <row r="295" spans="1:8" x14ac:dyDescent="0.25">
      <c r="A295" s="1" t="str">
        <f>"393  "</f>
        <v xml:space="preserve">393  </v>
      </c>
      <c r="B295" s="1" t="s">
        <v>1757</v>
      </c>
      <c r="C295" s="1" t="s">
        <v>1758</v>
      </c>
      <c r="D295" s="1" t="s">
        <v>3085</v>
      </c>
      <c r="E295" s="1" t="s">
        <v>3086</v>
      </c>
      <c r="F295" s="1" t="str">
        <f>"35202    "</f>
        <v xml:space="preserve">35202    </v>
      </c>
      <c r="G295" s="1" t="str">
        <f>"8009919155"</f>
        <v>8009919155</v>
      </c>
      <c r="H295" s="1" t="s">
        <v>2637</v>
      </c>
    </row>
    <row r="296" spans="1:8" x14ac:dyDescent="0.25">
      <c r="A296" s="1" t="str">
        <f>"394  "</f>
        <v xml:space="preserve">394  </v>
      </c>
      <c r="B296" s="1" t="s">
        <v>1105</v>
      </c>
      <c r="C296" s="1" t="s">
        <v>1106</v>
      </c>
      <c r="D296" s="1" t="s">
        <v>2673</v>
      </c>
      <c r="E296" s="1" t="s">
        <v>2674</v>
      </c>
      <c r="F296" s="1" t="str">
        <f>"84109    "</f>
        <v xml:space="preserve">84109    </v>
      </c>
      <c r="G296" s="1" t="str">
        <f>"8774740605"</f>
        <v>8774740605</v>
      </c>
      <c r="H296" s="1" t="s">
        <v>3218</v>
      </c>
    </row>
    <row r="297" spans="1:8" x14ac:dyDescent="0.25">
      <c r="A297" s="1" t="str">
        <f>"395  "</f>
        <v xml:space="preserve">395  </v>
      </c>
      <c r="B297" s="1" t="s">
        <v>2686</v>
      </c>
      <c r="C297" s="1" t="str">
        <f>"1630 E SHAW AVE STE 190                           "</f>
        <v xml:space="preserve">1630 E SHAW AVE STE 190                           </v>
      </c>
      <c r="D297" s="1" t="s">
        <v>2687</v>
      </c>
      <c r="E297" s="1" t="s">
        <v>2663</v>
      </c>
      <c r="F297" s="1" t="str">
        <f>"93710    "</f>
        <v xml:space="preserve">93710    </v>
      </c>
      <c r="G297" s="1" t="str">
        <f>"8006499121"</f>
        <v>8006499121</v>
      </c>
      <c r="H297" s="1" t="s">
        <v>2688</v>
      </c>
    </row>
    <row r="298" spans="1:8" x14ac:dyDescent="0.25">
      <c r="A298" s="1" t="str">
        <f>"396  "</f>
        <v xml:space="preserve">396  </v>
      </c>
      <c r="B298" s="1" t="s">
        <v>2398</v>
      </c>
      <c r="C298" s="1" t="s">
        <v>2399</v>
      </c>
      <c r="D298" s="1" t="s">
        <v>2061</v>
      </c>
      <c r="E298" s="1" t="s">
        <v>2636</v>
      </c>
      <c r="F298" s="1" t="str">
        <f>"75085    "</f>
        <v xml:space="preserve">75085    </v>
      </c>
      <c r="G298" s="1" t="str">
        <f>"8003372363"</f>
        <v>8003372363</v>
      </c>
      <c r="H298" s="1" t="s">
        <v>2688</v>
      </c>
    </row>
    <row r="299" spans="1:8" x14ac:dyDescent="0.25">
      <c r="A299" s="1" t="str">
        <f>"397  "</f>
        <v xml:space="preserve">397  </v>
      </c>
      <c r="B299" s="1" t="s">
        <v>1071</v>
      </c>
      <c r="C299" s="1" t="s">
        <v>1072</v>
      </c>
      <c r="D299" s="1" t="s">
        <v>2794</v>
      </c>
      <c r="E299" s="1" t="s">
        <v>2744</v>
      </c>
      <c r="F299" s="1" t="str">
        <f>"405124501"</f>
        <v>405124501</v>
      </c>
      <c r="G299" s="1" t="str">
        <f>"8004231973"</f>
        <v>8004231973</v>
      </c>
      <c r="H299" s="1" t="s">
        <v>2637</v>
      </c>
    </row>
    <row r="300" spans="1:8" x14ac:dyDescent="0.25">
      <c r="A300" s="1" t="str">
        <f>"398  "</f>
        <v xml:space="preserve">398  </v>
      </c>
      <c r="B300" s="1" t="s">
        <v>916</v>
      </c>
      <c r="C300" s="1" t="str">
        <f>"12250 WEBER HILL RD. STE 100                      "</f>
        <v xml:space="preserve">12250 WEBER HILL RD. STE 100                      </v>
      </c>
      <c r="D300" s="1" t="s">
        <v>917</v>
      </c>
      <c r="E300" s="1" t="s">
        <v>2670</v>
      </c>
      <c r="F300" s="1" t="str">
        <f>"63127    "</f>
        <v xml:space="preserve">63127    </v>
      </c>
      <c r="G300" s="1" t="str">
        <f>"8003659036"</f>
        <v>8003659036</v>
      </c>
      <c r="H300" s="1" t="s">
        <v>2688</v>
      </c>
    </row>
    <row r="301" spans="1:8" x14ac:dyDescent="0.25">
      <c r="A301" s="1" t="str">
        <f>"399  "</f>
        <v xml:space="preserve">399  </v>
      </c>
      <c r="B301" s="1" t="s">
        <v>1395</v>
      </c>
      <c r="C301" s="1" t="s">
        <v>1396</v>
      </c>
      <c r="D301" s="1" t="s">
        <v>2808</v>
      </c>
      <c r="E301" s="1" t="s">
        <v>2809</v>
      </c>
      <c r="F301" s="1" t="str">
        <f>"85067    "</f>
        <v xml:space="preserve">85067    </v>
      </c>
      <c r="G301" s="1" t="str">
        <f>"8007332285"</f>
        <v>8007332285</v>
      </c>
      <c r="H301" s="1" t="s">
        <v>2637</v>
      </c>
    </row>
    <row r="302" spans="1:8" x14ac:dyDescent="0.25">
      <c r="A302" s="1" t="str">
        <f>"400  "</f>
        <v xml:space="preserve">400  </v>
      </c>
      <c r="B302" s="1" t="s">
        <v>2062</v>
      </c>
      <c r="C302" s="1" t="str">
        <f>"4101 PERCIVAL ROAD                                "</f>
        <v xml:space="preserve">4101 PERCIVAL ROAD                                </v>
      </c>
      <c r="D302" s="1" t="s">
        <v>2701</v>
      </c>
      <c r="E302" s="1" t="s">
        <v>2660</v>
      </c>
      <c r="F302" s="1" t="str">
        <f>"29219    "</f>
        <v xml:space="preserve">29219    </v>
      </c>
      <c r="G302" s="1" t="str">
        <f>"8008682520"</f>
        <v>8008682520</v>
      </c>
      <c r="H302" s="1" t="s">
        <v>2063</v>
      </c>
    </row>
    <row r="303" spans="1:8" x14ac:dyDescent="0.25">
      <c r="A303" s="1" t="str">
        <f>"401  "</f>
        <v xml:space="preserve">401  </v>
      </c>
      <c r="B303" s="1" t="s">
        <v>1492</v>
      </c>
      <c r="C303" s="1" t="s">
        <v>1493</v>
      </c>
      <c r="D303" s="1" t="s">
        <v>2701</v>
      </c>
      <c r="E303" s="1" t="s">
        <v>2660</v>
      </c>
      <c r="F303" s="1" t="str">
        <f>"29202    "</f>
        <v xml:space="preserve">29202    </v>
      </c>
      <c r="G303" s="1" t="str">
        <f>"8037883860"</f>
        <v>8037883860</v>
      </c>
      <c r="H303" s="1" t="s">
        <v>1494</v>
      </c>
    </row>
    <row r="304" spans="1:8" x14ac:dyDescent="0.25">
      <c r="A304" s="1" t="str">
        <f>"402  "</f>
        <v xml:space="preserve">402  </v>
      </c>
      <c r="B304" s="1" t="s">
        <v>201</v>
      </c>
      <c r="C304" s="1" t="s">
        <v>202</v>
      </c>
      <c r="D304" s="1" t="s">
        <v>2701</v>
      </c>
      <c r="E304" s="1" t="s">
        <v>2660</v>
      </c>
      <c r="F304" s="1" t="str">
        <f>"29260    "</f>
        <v xml:space="preserve">29260    </v>
      </c>
      <c r="G304" s="1" t="str">
        <f>"8037883860"</f>
        <v>8037883860</v>
      </c>
      <c r="H304" s="1" t="s">
        <v>2637</v>
      </c>
    </row>
    <row r="305" spans="1:8" x14ac:dyDescent="0.25">
      <c r="A305" s="1" t="str">
        <f>"403  "</f>
        <v xml:space="preserve">403  </v>
      </c>
      <c r="B305" s="1" t="s">
        <v>1184</v>
      </c>
      <c r="C305" s="1" t="s">
        <v>1185</v>
      </c>
      <c r="D305" s="1" t="s">
        <v>2701</v>
      </c>
      <c r="E305" s="1" t="s">
        <v>2660</v>
      </c>
      <c r="F305" s="1" t="str">
        <f>"29260    "</f>
        <v xml:space="preserve">29260    </v>
      </c>
      <c r="G305" s="1" t="str">
        <f>"8772753256"</f>
        <v>8772753256</v>
      </c>
      <c r="H305" s="1" t="s">
        <v>3195</v>
      </c>
    </row>
    <row r="306" spans="1:8" x14ac:dyDescent="0.25">
      <c r="A306" s="1" t="str">
        <f>"404  "</f>
        <v xml:space="preserve">404  </v>
      </c>
      <c r="B306" s="1" t="s">
        <v>1684</v>
      </c>
      <c r="C306" s="1" t="str">
        <f>"1700 WADE HAMPTON BLVD.                           "</f>
        <v xml:space="preserve">1700 WADE HAMPTON BLVD.                           </v>
      </c>
      <c r="D306" s="1" t="s">
        <v>2710</v>
      </c>
      <c r="E306" s="1" t="s">
        <v>2660</v>
      </c>
      <c r="F306" s="1" t="str">
        <f>"29614    "</f>
        <v xml:space="preserve">29614    </v>
      </c>
      <c r="G306" s="1" t="str">
        <f>"8643701800"</f>
        <v>8643701800</v>
      </c>
      <c r="H306" s="1" t="s">
        <v>2637</v>
      </c>
    </row>
    <row r="307" spans="1:8" x14ac:dyDescent="0.25">
      <c r="A307" s="1" t="str">
        <f>"405  "</f>
        <v xml:space="preserve">405  </v>
      </c>
      <c r="B307" s="1" t="s">
        <v>1498</v>
      </c>
      <c r="C307" s="1" t="s">
        <v>1499</v>
      </c>
      <c r="D307" s="1" t="s">
        <v>2442</v>
      </c>
      <c r="E307" s="1" t="s">
        <v>3264</v>
      </c>
      <c r="F307" s="1" t="str">
        <f>"503060432"</f>
        <v>503060432</v>
      </c>
      <c r="G307" s="1" t="str">
        <f>"8773257265"</f>
        <v>8773257265</v>
      </c>
      <c r="H307" s="1" t="s">
        <v>2688</v>
      </c>
    </row>
    <row r="308" spans="1:8" x14ac:dyDescent="0.25">
      <c r="A308" s="1" t="str">
        <f>"406  "</f>
        <v xml:space="preserve">406  </v>
      </c>
      <c r="B308" s="1" t="s">
        <v>332</v>
      </c>
      <c r="C308" s="1" t="s">
        <v>333</v>
      </c>
      <c r="D308" s="1" t="s">
        <v>2906</v>
      </c>
      <c r="E308" s="1" t="s">
        <v>2677</v>
      </c>
      <c r="F308" s="1" t="str">
        <f>"28266    "</f>
        <v xml:space="preserve">28266    </v>
      </c>
      <c r="G308" s="1" t="str">
        <f>"8006388432"</f>
        <v>8006388432</v>
      </c>
      <c r="H308" s="1" t="s">
        <v>2735</v>
      </c>
    </row>
    <row r="309" spans="1:8" x14ac:dyDescent="0.25">
      <c r="A309" s="1" t="str">
        <f>"407  "</f>
        <v xml:space="preserve">407  </v>
      </c>
      <c r="B309" s="1" t="s">
        <v>3009</v>
      </c>
      <c r="C309" s="1" t="str">
        <f>"1844 N. NOB HILL RD. #623                         "</f>
        <v xml:space="preserve">1844 N. NOB HILL RD. #623                         </v>
      </c>
      <c r="D309" s="1" t="s">
        <v>3010</v>
      </c>
      <c r="E309" s="1" t="s">
        <v>2832</v>
      </c>
      <c r="F309" s="1" t="str">
        <f>"33322    "</f>
        <v xml:space="preserve">33322    </v>
      </c>
      <c r="G309" s="1" t="str">
        <f>"8008471148"</f>
        <v>8008471148</v>
      </c>
      <c r="H309" s="1" t="s">
        <v>2637</v>
      </c>
    </row>
    <row r="310" spans="1:8" x14ac:dyDescent="0.25">
      <c r="A310" s="1" t="str">
        <f>"408  "</f>
        <v xml:space="preserve">408  </v>
      </c>
      <c r="B310" s="1" t="s">
        <v>864</v>
      </c>
      <c r="C310" s="1" t="s">
        <v>865</v>
      </c>
      <c r="D310" s="1" t="s">
        <v>2943</v>
      </c>
      <c r="E310" s="1" t="s">
        <v>2944</v>
      </c>
      <c r="F310" s="1" t="str">
        <f>"72203    "</f>
        <v xml:space="preserve">72203    </v>
      </c>
      <c r="G310" s="1" t="str">
        <f>"5013760426"</f>
        <v>5013760426</v>
      </c>
      <c r="H310" s="1" t="s">
        <v>866</v>
      </c>
    </row>
    <row r="311" spans="1:8" x14ac:dyDescent="0.25">
      <c r="A311" s="1" t="str">
        <f>"409  "</f>
        <v xml:space="preserve">409  </v>
      </c>
      <c r="B311" s="1" t="s">
        <v>414</v>
      </c>
      <c r="C311" s="1" t="s">
        <v>415</v>
      </c>
      <c r="D311" s="1" t="s">
        <v>727</v>
      </c>
      <c r="E311" s="1" t="s">
        <v>2773</v>
      </c>
      <c r="F311" s="1" t="str">
        <f>"132176589"</f>
        <v>132176589</v>
      </c>
      <c r="G311" s="1" t="str">
        <f>"3154221533"</f>
        <v>3154221533</v>
      </c>
      <c r="H311" s="1" t="s">
        <v>2637</v>
      </c>
    </row>
    <row r="312" spans="1:8" x14ac:dyDescent="0.25">
      <c r="A312" s="1" t="str">
        <f>"410  "</f>
        <v xml:space="preserve">410  </v>
      </c>
      <c r="B312" s="1" t="s">
        <v>3059</v>
      </c>
      <c r="C312" s="1" t="s">
        <v>3060</v>
      </c>
      <c r="D312" s="1" t="s">
        <v>3061</v>
      </c>
      <c r="E312" s="1" t="s">
        <v>2858</v>
      </c>
      <c r="F312" s="1" t="str">
        <f>"981241699"</f>
        <v>981241699</v>
      </c>
      <c r="G312" s="1" t="str">
        <f>"2068678000"</f>
        <v>2068678000</v>
      </c>
      <c r="H312" s="1" t="s">
        <v>2637</v>
      </c>
    </row>
    <row r="313" spans="1:8" x14ac:dyDescent="0.25">
      <c r="A313" s="1" t="str">
        <f>"411  "</f>
        <v xml:space="preserve">411  </v>
      </c>
      <c r="B313" s="1" t="s">
        <v>113</v>
      </c>
      <c r="C313" s="1" t="s">
        <v>114</v>
      </c>
      <c r="D313" s="1" t="s">
        <v>2413</v>
      </c>
      <c r="E313" s="1" t="s">
        <v>2636</v>
      </c>
      <c r="F313" s="1" t="str">
        <f>"76006    "</f>
        <v xml:space="preserve">76006    </v>
      </c>
      <c r="G313" s="1" t="str">
        <f>"8660511-47"</f>
        <v>8660511-47</v>
      </c>
      <c r="H313" s="1" t="s">
        <v>2688</v>
      </c>
    </row>
    <row r="314" spans="1:8" x14ac:dyDescent="0.25">
      <c r="A314" s="1" t="str">
        <f>"412  "</f>
        <v xml:space="preserve">412  </v>
      </c>
      <c r="B314" s="1" t="s">
        <v>2949</v>
      </c>
      <c r="C314" s="1" t="s">
        <v>2554</v>
      </c>
      <c r="D314" s="1" t="s">
        <v>2555</v>
      </c>
      <c r="E314" s="1" t="s">
        <v>2952</v>
      </c>
      <c r="F314" s="1" t="str">
        <f>"06034    "</f>
        <v xml:space="preserve">06034    </v>
      </c>
      <c r="G314" s="1" t="str">
        <f>"8002517722"</f>
        <v>8002517722</v>
      </c>
      <c r="H314" s="1" t="s">
        <v>2637</v>
      </c>
    </row>
    <row r="315" spans="1:8" x14ac:dyDescent="0.25">
      <c r="A315" s="1" t="str">
        <f>"413  "</f>
        <v xml:space="preserve">413  </v>
      </c>
      <c r="B315" s="1" t="s">
        <v>19</v>
      </c>
      <c r="C315" s="1" t="s">
        <v>20</v>
      </c>
      <c r="D315" s="1" t="s">
        <v>2154</v>
      </c>
      <c r="E315" s="1" t="s">
        <v>2786</v>
      </c>
      <c r="F315" s="1" t="str">
        <f>"60690    "</f>
        <v xml:space="preserve">60690    </v>
      </c>
      <c r="G315" s="1" t="str">
        <f>"8002882078"</f>
        <v>8002882078</v>
      </c>
      <c r="H315" s="1" t="s">
        <v>2637</v>
      </c>
    </row>
    <row r="316" spans="1:8" x14ac:dyDescent="0.25">
      <c r="A316" s="1" t="str">
        <f>"414  "</f>
        <v xml:space="preserve">414  </v>
      </c>
      <c r="B316" s="1" t="s">
        <v>802</v>
      </c>
      <c r="C316" s="1" t="str">
        <f>"1 WEST PACK SQUARE, SUITE 600                     "</f>
        <v xml:space="preserve">1 WEST PACK SQUARE, SUITE 600                     </v>
      </c>
      <c r="D316" s="1" t="s">
        <v>803</v>
      </c>
      <c r="E316" s="1" t="s">
        <v>2677</v>
      </c>
      <c r="F316" s="1" t="str">
        <f>"28801    "</f>
        <v xml:space="preserve">28801    </v>
      </c>
      <c r="G316" s="1" t="str">
        <f>"8282529776"</f>
        <v>8282529776</v>
      </c>
      <c r="H316" s="1" t="s">
        <v>2637</v>
      </c>
    </row>
    <row r="317" spans="1:8" x14ac:dyDescent="0.25">
      <c r="A317" s="1" t="str">
        <f>"415  "</f>
        <v xml:space="preserve">415  </v>
      </c>
      <c r="B317" s="1" t="s">
        <v>2418</v>
      </c>
      <c r="C317" s="1" t="s">
        <v>2419</v>
      </c>
      <c r="D317" s="1" t="s">
        <v>2420</v>
      </c>
      <c r="E317" s="1" t="s">
        <v>2644</v>
      </c>
      <c r="F317" s="1" t="str">
        <f>"48909    "</f>
        <v xml:space="preserve">48909    </v>
      </c>
      <c r="G317" s="1" t="str">
        <f>"5173497010"</f>
        <v>5173497010</v>
      </c>
      <c r="H317" s="1" t="s">
        <v>2637</v>
      </c>
    </row>
    <row r="318" spans="1:8" x14ac:dyDescent="0.25">
      <c r="A318" s="1" t="str">
        <f>"416  "</f>
        <v xml:space="preserve">416  </v>
      </c>
      <c r="B318" s="1" t="s">
        <v>790</v>
      </c>
      <c r="C318" s="1" t="s">
        <v>791</v>
      </c>
      <c r="D318" s="1" t="s">
        <v>2701</v>
      </c>
      <c r="E318" s="1" t="s">
        <v>2660</v>
      </c>
      <c r="F318" s="1" t="str">
        <f>"29202    "</f>
        <v xml:space="preserve">29202    </v>
      </c>
      <c r="G318" s="1" t="str">
        <f>"8008681032"</f>
        <v>8008681032</v>
      </c>
      <c r="H318" s="1" t="s">
        <v>792</v>
      </c>
    </row>
    <row r="319" spans="1:8" x14ac:dyDescent="0.25">
      <c r="A319" s="1" t="str">
        <f>"417  "</f>
        <v xml:space="preserve">417  </v>
      </c>
      <c r="B319" s="1" t="s">
        <v>910</v>
      </c>
      <c r="C319" s="1" t="str">
        <f>"5 GATEWAY CENTER STE 60                           "</f>
        <v xml:space="preserve">5 GATEWAY CENTER STE 60                           </v>
      </c>
      <c r="D319" s="1" t="s">
        <v>3123</v>
      </c>
      <c r="E319" s="1" t="s">
        <v>2697</v>
      </c>
      <c r="F319" s="1" t="str">
        <f>"15222    "</f>
        <v xml:space="preserve">15222    </v>
      </c>
      <c r="G319" s="1" t="str">
        <f>"8669008322"</f>
        <v>8669008322</v>
      </c>
      <c r="H319" s="1" t="s">
        <v>3218</v>
      </c>
    </row>
    <row r="320" spans="1:8" x14ac:dyDescent="0.25">
      <c r="A320" s="1" t="str">
        <f>"418  "</f>
        <v xml:space="preserve">418  </v>
      </c>
      <c r="B320" s="1" t="s">
        <v>570</v>
      </c>
      <c r="C320" s="1" t="s">
        <v>571</v>
      </c>
      <c r="D320" s="1" t="s">
        <v>2666</v>
      </c>
      <c r="E320" s="1" t="s">
        <v>2667</v>
      </c>
      <c r="F320" s="1" t="str">
        <f>"549128007"</f>
        <v>549128007</v>
      </c>
      <c r="G320" s="1" t="str">
        <f>"8006854542"</f>
        <v>8006854542</v>
      </c>
      <c r="H320" s="1" t="s">
        <v>2688</v>
      </c>
    </row>
    <row r="321" spans="1:8" x14ac:dyDescent="0.25">
      <c r="A321" s="1" t="str">
        <f>"419  "</f>
        <v xml:space="preserve">419  </v>
      </c>
      <c r="B321" s="1" t="s">
        <v>51</v>
      </c>
      <c r="C321" s="1" t="s">
        <v>52</v>
      </c>
      <c r="D321" s="1" t="s">
        <v>2717</v>
      </c>
      <c r="E321" s="1" t="s">
        <v>2681</v>
      </c>
      <c r="F321" s="1" t="str">
        <f>"30334    "</f>
        <v xml:space="preserve">30334    </v>
      </c>
      <c r="G321" s="1" t="str">
        <f>"8006266402"</f>
        <v>8006266402</v>
      </c>
      <c r="H321" s="1" t="s">
        <v>2637</v>
      </c>
    </row>
    <row r="322" spans="1:8" x14ac:dyDescent="0.25">
      <c r="A322" s="1" t="str">
        <f>"420  "</f>
        <v xml:space="preserve">420  </v>
      </c>
      <c r="B322" s="1" t="s">
        <v>732</v>
      </c>
      <c r="C322" s="1" t="s">
        <v>733</v>
      </c>
      <c r="D322" s="1" t="s">
        <v>2939</v>
      </c>
      <c r="E322" s="1" t="s">
        <v>2667</v>
      </c>
      <c r="F322" s="1" t="str">
        <f>"53701    "</f>
        <v xml:space="preserve">53701    </v>
      </c>
      <c r="G322" s="1" t="str">
        <f>"6082385851"</f>
        <v>6082385851</v>
      </c>
      <c r="H322" s="1" t="s">
        <v>2637</v>
      </c>
    </row>
    <row r="323" spans="1:8" x14ac:dyDescent="0.25">
      <c r="A323" s="1" t="str">
        <f>"421  "</f>
        <v xml:space="preserve">421  </v>
      </c>
      <c r="B323" s="1" t="s">
        <v>2645</v>
      </c>
      <c r="C323" s="1" t="str">
        <f>"911 RIDGEBROOK RD                                 "</f>
        <v xml:space="preserve">911 RIDGEBROOK RD                                 </v>
      </c>
      <c r="D323" s="1" t="s">
        <v>2646</v>
      </c>
      <c r="E323" s="1" t="s">
        <v>2647</v>
      </c>
      <c r="F323" s="1" t="str">
        <f>"211529451"</f>
        <v>211529451</v>
      </c>
      <c r="G323" s="1" t="str">
        <f>"8006382972"</f>
        <v>8006382972</v>
      </c>
      <c r="H323" s="1" t="s">
        <v>2648</v>
      </c>
    </row>
    <row r="324" spans="1:8" x14ac:dyDescent="0.25">
      <c r="A324" s="1" t="str">
        <f>"432  "</f>
        <v xml:space="preserve">432  </v>
      </c>
      <c r="B324" s="1" t="s">
        <v>786</v>
      </c>
      <c r="C324" s="1" t="s">
        <v>787</v>
      </c>
      <c r="D324" s="1" t="s">
        <v>788</v>
      </c>
      <c r="E324" s="1" t="s">
        <v>2647</v>
      </c>
      <c r="F324" s="1" t="str">
        <f>"210900357"</f>
        <v>210900357</v>
      </c>
      <c r="G324" s="1" t="str">
        <f>"8006752605"</f>
        <v>8006752605</v>
      </c>
      <c r="H324" s="1" t="s">
        <v>2688</v>
      </c>
    </row>
    <row r="325" spans="1:8" x14ac:dyDescent="0.25">
      <c r="A325" s="1" t="str">
        <f>"433  "</f>
        <v xml:space="preserve">433  </v>
      </c>
      <c r="B325" s="1" t="s">
        <v>2115</v>
      </c>
      <c r="C325" s="1" t="s">
        <v>2116</v>
      </c>
      <c r="D325" s="1" t="s">
        <v>2701</v>
      </c>
      <c r="E325" s="1" t="s">
        <v>2660</v>
      </c>
      <c r="F325" s="1" t="str">
        <f>"29202    "</f>
        <v xml:space="preserve">29202    </v>
      </c>
      <c r="G325" s="1" t="str">
        <f>"8037880500"</f>
        <v>8037880500</v>
      </c>
      <c r="H325" s="1" t="s">
        <v>2637</v>
      </c>
    </row>
    <row r="326" spans="1:8" x14ac:dyDescent="0.25">
      <c r="A326" s="1" t="str">
        <f>"434  "</f>
        <v xml:space="preserve">434  </v>
      </c>
      <c r="B326" s="1" t="s">
        <v>2658</v>
      </c>
      <c r="C326" s="1" t="str">
        <f>"116 BONHAM CT.                                    "</f>
        <v xml:space="preserve">116 BONHAM CT.                                    </v>
      </c>
      <c r="D326" s="1" t="s">
        <v>2659</v>
      </c>
      <c r="E326" s="1" t="s">
        <v>2660</v>
      </c>
      <c r="F326" s="1" t="str">
        <f>"29621    "</f>
        <v xml:space="preserve">29621    </v>
      </c>
      <c r="G326" s="1" t="str">
        <f>"8643759661"</f>
        <v>8643759661</v>
      </c>
      <c r="H326" s="1" t="s">
        <v>2637</v>
      </c>
    </row>
    <row r="327" spans="1:8" x14ac:dyDescent="0.25">
      <c r="A327" s="1" t="str">
        <f>"435  "</f>
        <v xml:space="preserve">435  </v>
      </c>
      <c r="B327" s="1" t="s">
        <v>1173</v>
      </c>
      <c r="C327" s="1" t="s">
        <v>1174</v>
      </c>
      <c r="D327" s="1" t="s">
        <v>3157</v>
      </c>
      <c r="E327" s="1" t="s">
        <v>2970</v>
      </c>
      <c r="F327" s="1" t="str">
        <f>"37219    "</f>
        <v xml:space="preserve">37219    </v>
      </c>
      <c r="G327" s="1" t="str">
        <f>"8005822498"</f>
        <v>8005822498</v>
      </c>
      <c r="H327" s="1" t="s">
        <v>2637</v>
      </c>
    </row>
    <row r="328" spans="1:8" x14ac:dyDescent="0.25">
      <c r="A328" s="1" t="str">
        <f>"436  "</f>
        <v xml:space="preserve">436  </v>
      </c>
      <c r="B328" s="1" t="s">
        <v>1985</v>
      </c>
      <c r="C328" s="1" t="s">
        <v>1986</v>
      </c>
      <c r="D328" s="1" t="s">
        <v>2701</v>
      </c>
      <c r="E328" s="1" t="s">
        <v>2660</v>
      </c>
      <c r="F328" s="1" t="str">
        <f>"29212    "</f>
        <v xml:space="preserve">29212    </v>
      </c>
      <c r="G328" s="1" t="str">
        <f>"8037320060"</f>
        <v>8037320060</v>
      </c>
      <c r="H328" s="1" t="s">
        <v>2637</v>
      </c>
    </row>
    <row r="329" spans="1:8" x14ac:dyDescent="0.25">
      <c r="A329" s="1" t="str">
        <f>"437  "</f>
        <v xml:space="preserve">437  </v>
      </c>
      <c r="B329" s="1" t="s">
        <v>465</v>
      </c>
      <c r="C329" s="1" t="s">
        <v>466</v>
      </c>
      <c r="D329" s="1" t="s">
        <v>2635</v>
      </c>
      <c r="E329" s="1" t="s">
        <v>2636</v>
      </c>
      <c r="F329" s="1" t="str">
        <f>"772104884"</f>
        <v>772104884</v>
      </c>
      <c r="G329" s="1" t="str">
        <f>"2813687200"</f>
        <v>2813687200</v>
      </c>
      <c r="H329" s="1" t="s">
        <v>2637</v>
      </c>
    </row>
    <row r="330" spans="1:8" x14ac:dyDescent="0.25">
      <c r="A330" s="1" t="str">
        <f>"438  "</f>
        <v xml:space="preserve">438  </v>
      </c>
      <c r="B330" s="1" t="s">
        <v>3053</v>
      </c>
      <c r="C330" s="1" t="s">
        <v>3054</v>
      </c>
      <c r="D330" s="1" t="s">
        <v>3055</v>
      </c>
      <c r="E330" s="1" t="s">
        <v>2647</v>
      </c>
      <c r="F330" s="1" t="str">
        <f>"21705    "</f>
        <v xml:space="preserve">21705    </v>
      </c>
      <c r="G330" s="1" t="str">
        <f>"8002576458"</f>
        <v>8002576458</v>
      </c>
      <c r="H330" s="1" t="s">
        <v>2637</v>
      </c>
    </row>
    <row r="331" spans="1:8" x14ac:dyDescent="0.25">
      <c r="A331" s="1" t="str">
        <f>"439  "</f>
        <v xml:space="preserve">439  </v>
      </c>
      <c r="B331" s="1" t="s">
        <v>1802</v>
      </c>
      <c r="C331" s="1" t="s">
        <v>1803</v>
      </c>
      <c r="D331" s="1" t="s">
        <v>2854</v>
      </c>
      <c r="E331" s="1" t="s">
        <v>2636</v>
      </c>
      <c r="F331" s="1" t="str">
        <f>"79998    "</f>
        <v xml:space="preserve">79998    </v>
      </c>
      <c r="G331" s="1" t="str">
        <f>"8004446254"</f>
        <v>8004446254</v>
      </c>
      <c r="H331" s="1" t="s">
        <v>1711</v>
      </c>
    </row>
    <row r="332" spans="1:8" x14ac:dyDescent="0.25">
      <c r="A332" s="1" t="str">
        <f>"440  "</f>
        <v xml:space="preserve">440  </v>
      </c>
      <c r="B332" s="1" t="s">
        <v>3201</v>
      </c>
      <c r="C332" s="1" t="s">
        <v>933</v>
      </c>
      <c r="D332" s="1" t="s">
        <v>2794</v>
      </c>
      <c r="E332" s="1" t="s">
        <v>2744</v>
      </c>
      <c r="F332" s="1" t="str">
        <f>"40512    "</f>
        <v xml:space="preserve">40512    </v>
      </c>
      <c r="G332" s="1" t="str">
        <f>"8006417761"</f>
        <v>8006417761</v>
      </c>
      <c r="H332" s="1" t="s">
        <v>2637</v>
      </c>
    </row>
    <row r="333" spans="1:8" x14ac:dyDescent="0.25">
      <c r="A333" s="1" t="str">
        <f>"441  "</f>
        <v xml:space="preserve">441  </v>
      </c>
      <c r="B333" s="1" t="s">
        <v>2655</v>
      </c>
      <c r="C333" s="1" t="s">
        <v>2656</v>
      </c>
      <c r="D333" s="1" t="s">
        <v>2657</v>
      </c>
      <c r="E333" s="1" t="s">
        <v>2644</v>
      </c>
      <c r="F333" s="1" t="str">
        <f>"48235    "</f>
        <v xml:space="preserve">48235    </v>
      </c>
      <c r="G333" s="1" t="str">
        <f>"8005220041"</f>
        <v>8005220041</v>
      </c>
      <c r="H333" s="1" t="s">
        <v>2637</v>
      </c>
    </row>
    <row r="334" spans="1:8" x14ac:dyDescent="0.25">
      <c r="A334" s="1" t="str">
        <f>"442  "</f>
        <v xml:space="preserve">442  </v>
      </c>
      <c r="B334" s="1" t="s">
        <v>984</v>
      </c>
      <c r="C334" s="1" t="s">
        <v>985</v>
      </c>
      <c r="D334" s="1" t="s">
        <v>986</v>
      </c>
      <c r="E334" s="1" t="s">
        <v>3164</v>
      </c>
      <c r="F334" s="1" t="str">
        <f>"24505    "</f>
        <v xml:space="preserve">24505    </v>
      </c>
      <c r="G334" s="1" t="str">
        <f>"8002530856"</f>
        <v>8002530856</v>
      </c>
      <c r="H334" s="1" t="s">
        <v>2637</v>
      </c>
    </row>
    <row r="335" spans="1:8" x14ac:dyDescent="0.25">
      <c r="A335" s="1" t="str">
        <f>"443  "</f>
        <v xml:space="preserve">443  </v>
      </c>
      <c r="B335" s="1" t="s">
        <v>2955</v>
      </c>
      <c r="C335" s="1" t="s">
        <v>2956</v>
      </c>
      <c r="D335" s="1" t="s">
        <v>2791</v>
      </c>
      <c r="E335" s="1" t="s">
        <v>2744</v>
      </c>
      <c r="F335" s="1" t="str">
        <f>"39026    "</f>
        <v xml:space="preserve">39026    </v>
      </c>
      <c r="G335" s="1" t="str">
        <f>"8667858077"</f>
        <v>8667858077</v>
      </c>
      <c r="H335" s="1" t="s">
        <v>2688</v>
      </c>
    </row>
    <row r="336" spans="1:8" x14ac:dyDescent="0.25">
      <c r="A336" s="1" t="str">
        <f>"444  "</f>
        <v xml:space="preserve">444  </v>
      </c>
      <c r="B336" s="1" t="s">
        <v>1229</v>
      </c>
      <c r="C336" s="1" t="s">
        <v>2637</v>
      </c>
      <c r="D336" s="1" t="s">
        <v>2637</v>
      </c>
      <c r="E336" s="1" t="s">
        <v>2637</v>
      </c>
      <c r="F336" s="1" t="s">
        <v>2637</v>
      </c>
      <c r="G336" s="1" t="s">
        <v>2637</v>
      </c>
      <c r="H336" s="1" t="s">
        <v>2637</v>
      </c>
    </row>
    <row r="337" spans="1:8" x14ac:dyDescent="0.25">
      <c r="A337" s="1" t="str">
        <f>"445  "</f>
        <v xml:space="preserve">445  </v>
      </c>
      <c r="B337" s="1" t="s">
        <v>365</v>
      </c>
      <c r="C337" s="1" t="s">
        <v>366</v>
      </c>
      <c r="D337" s="1" t="s">
        <v>2713</v>
      </c>
      <c r="E337" s="1" t="s">
        <v>2714</v>
      </c>
      <c r="F337" s="1" t="str">
        <f>"441011018"</f>
        <v>441011018</v>
      </c>
      <c r="G337" s="1" t="str">
        <f>"8003153143"</f>
        <v>8003153143</v>
      </c>
      <c r="H337" s="1" t="str">
        <f>" ALSO KNOWN AS SUPERMED     ANOTHER PHONE # 800-232-3143                                                                                    "</f>
        <v xml:space="preserve"> ALSO KNOWN AS SUPERMED     ANOTHER PHONE # 800-232-3143                                                                                    </v>
      </c>
    </row>
    <row r="338" spans="1:8" x14ac:dyDescent="0.25">
      <c r="A338" s="1" t="str">
        <f>"446  "</f>
        <v xml:space="preserve">446  </v>
      </c>
      <c r="B338" s="1" t="s">
        <v>264</v>
      </c>
      <c r="C338" s="1" t="s">
        <v>2679</v>
      </c>
      <c r="D338" s="1" t="s">
        <v>2680</v>
      </c>
      <c r="E338" s="1" t="s">
        <v>2681</v>
      </c>
      <c r="F338" s="1" t="str">
        <f>"314120088"</f>
        <v>314120088</v>
      </c>
      <c r="G338" s="1" t="str">
        <f>"8035778051"</f>
        <v>8035778051</v>
      </c>
      <c r="H338" s="1" t="s">
        <v>265</v>
      </c>
    </row>
    <row r="339" spans="1:8" x14ac:dyDescent="0.25">
      <c r="A339" s="1" t="str">
        <f>"447  "</f>
        <v xml:space="preserve">447  </v>
      </c>
      <c r="B339" s="1" t="s">
        <v>1099</v>
      </c>
      <c r="C339" s="1" t="s">
        <v>1100</v>
      </c>
      <c r="D339" s="1" t="s">
        <v>2794</v>
      </c>
      <c r="E339" s="1" t="s">
        <v>2744</v>
      </c>
      <c r="F339" s="1" t="str">
        <f>"405125225"</f>
        <v>405125225</v>
      </c>
      <c r="G339" s="1" t="str">
        <f>"9004387886"</f>
        <v>9004387886</v>
      </c>
      <c r="H339" s="1" t="s">
        <v>2795</v>
      </c>
    </row>
    <row r="340" spans="1:8" x14ac:dyDescent="0.25">
      <c r="A340" s="1" t="str">
        <f>"448  "</f>
        <v xml:space="preserve">448  </v>
      </c>
      <c r="B340" s="1" t="s">
        <v>695</v>
      </c>
      <c r="C340" s="1" t="s">
        <v>696</v>
      </c>
      <c r="D340" s="1" t="s">
        <v>697</v>
      </c>
      <c r="E340" s="1" t="s">
        <v>2647</v>
      </c>
      <c r="F340" s="1" t="str">
        <f>"63042    "</f>
        <v xml:space="preserve">63042    </v>
      </c>
      <c r="G340" s="1" t="str">
        <f>"8005537654"</f>
        <v>8005537654</v>
      </c>
      <c r="H340" s="1" t="s">
        <v>698</v>
      </c>
    </row>
    <row r="341" spans="1:8" x14ac:dyDescent="0.25">
      <c r="A341" s="1" t="str">
        <f>"449  "</f>
        <v xml:space="preserve">449  </v>
      </c>
      <c r="B341" s="1" t="s">
        <v>2087</v>
      </c>
      <c r="C341" s="1" t="s">
        <v>2088</v>
      </c>
      <c r="D341" s="1" t="s">
        <v>2089</v>
      </c>
      <c r="E341" s="1" t="s">
        <v>2663</v>
      </c>
      <c r="F341" s="1" t="str">
        <f>"926906080"</f>
        <v>926906080</v>
      </c>
      <c r="G341" s="1" t="str">
        <f>"8008721187"</f>
        <v>8008721187</v>
      </c>
      <c r="H341" s="1" t="s">
        <v>2688</v>
      </c>
    </row>
    <row r="342" spans="1:8" x14ac:dyDescent="0.25">
      <c r="A342" s="1" t="str">
        <f>"450  "</f>
        <v xml:space="preserve">450  </v>
      </c>
      <c r="B342" s="1" t="s">
        <v>849</v>
      </c>
      <c r="C342" s="1" t="s">
        <v>850</v>
      </c>
      <c r="D342" s="1" t="s">
        <v>2673</v>
      </c>
      <c r="E342" s="1" t="s">
        <v>2674</v>
      </c>
      <c r="F342" s="1" t="str">
        <f>"841450530"</f>
        <v>841450530</v>
      </c>
      <c r="G342" s="1" t="str">
        <f>"8772200110"</f>
        <v>8772200110</v>
      </c>
      <c r="H342" s="1" t="s">
        <v>2795</v>
      </c>
    </row>
    <row r="343" spans="1:8" x14ac:dyDescent="0.25">
      <c r="A343" s="1" t="str">
        <f>"451  "</f>
        <v xml:space="preserve">451  </v>
      </c>
      <c r="B343" s="1" t="s">
        <v>206</v>
      </c>
      <c r="C343" s="1" t="str">
        <f>"340 QUANRINGLE BLVD                               "</f>
        <v xml:space="preserve">340 QUANRINGLE BLVD                               </v>
      </c>
      <c r="D343" s="1" t="s">
        <v>207</v>
      </c>
      <c r="E343" s="1" t="s">
        <v>2786</v>
      </c>
      <c r="F343" s="1" t="str">
        <f>"60440    "</f>
        <v xml:space="preserve">60440    </v>
      </c>
      <c r="G343" s="1" t="str">
        <f>"8007597422"</f>
        <v>8007597422</v>
      </c>
      <c r="H343" s="1" t="s">
        <v>2637</v>
      </c>
    </row>
    <row r="344" spans="1:8" x14ac:dyDescent="0.25">
      <c r="A344" s="1" t="str">
        <f>"452  "</f>
        <v xml:space="preserve">452  </v>
      </c>
      <c r="B344" s="1" t="s">
        <v>2197</v>
      </c>
      <c r="C344" s="1" t="s">
        <v>2198</v>
      </c>
      <c r="D344" s="1" t="s">
        <v>2199</v>
      </c>
      <c r="E344" s="1" t="s">
        <v>2200</v>
      </c>
      <c r="F344" s="1" t="str">
        <f>"19850    "</f>
        <v xml:space="preserve">19850    </v>
      </c>
      <c r="G344" s="1" t="str">
        <f>"8004412668"</f>
        <v>8004412668</v>
      </c>
      <c r="H344" s="1" t="s">
        <v>2637</v>
      </c>
    </row>
    <row r="345" spans="1:8" x14ac:dyDescent="0.25">
      <c r="A345" s="1" t="str">
        <f>"453  "</f>
        <v xml:space="preserve">453  </v>
      </c>
      <c r="B345" s="1" t="s">
        <v>3191</v>
      </c>
      <c r="C345" s="1" t="str">
        <f>"2100 CORPORATE CENTER                             "</f>
        <v xml:space="preserve">2100 CORPORATE CENTER                             </v>
      </c>
      <c r="D345" s="1" t="s">
        <v>3192</v>
      </c>
      <c r="E345" s="1" t="s">
        <v>2663</v>
      </c>
      <c r="F345" s="1" t="str">
        <f>"913201431"</f>
        <v>913201431</v>
      </c>
      <c r="G345" s="1" t="str">
        <f>"8006762583"</f>
        <v>8006762583</v>
      </c>
      <c r="H345" s="1" t="s">
        <v>2795</v>
      </c>
    </row>
    <row r="346" spans="1:8" x14ac:dyDescent="0.25">
      <c r="A346" s="1" t="str">
        <f>"454  "</f>
        <v xml:space="preserve">454  </v>
      </c>
      <c r="B346" s="1" t="s">
        <v>423</v>
      </c>
      <c r="C346" s="1" t="str">
        <f>"166 WEST KELLY STREET                             "</f>
        <v xml:space="preserve">166 WEST KELLY STREET                             </v>
      </c>
      <c r="D346" s="1" t="s">
        <v>424</v>
      </c>
      <c r="E346" s="1" t="s">
        <v>2821</v>
      </c>
      <c r="F346" s="1" t="str">
        <f>"08840    "</f>
        <v xml:space="preserve">08840    </v>
      </c>
      <c r="G346" s="1" t="str">
        <f>"9085486662"</f>
        <v>9085486662</v>
      </c>
      <c r="H346" s="1" t="s">
        <v>2637</v>
      </c>
    </row>
    <row r="347" spans="1:8" x14ac:dyDescent="0.25">
      <c r="A347" s="1" t="str">
        <f>"455  "</f>
        <v xml:space="preserve">455  </v>
      </c>
      <c r="B347" s="1" t="s">
        <v>253</v>
      </c>
      <c r="C347" s="1" t="str">
        <f>"520 E 34TH AVENUE SUITE 107                       "</f>
        <v xml:space="preserve">520 E 34TH AVENUE SUITE 107                       </v>
      </c>
      <c r="D347" s="1" t="s">
        <v>3169</v>
      </c>
      <c r="E347" s="1" t="s">
        <v>3170</v>
      </c>
      <c r="F347" s="1" t="str">
        <f>"995034116"</f>
        <v>995034116</v>
      </c>
      <c r="G347" s="1" t="str">
        <f>"8004784450"</f>
        <v>8004784450</v>
      </c>
      <c r="H347" s="1" t="s">
        <v>2688</v>
      </c>
    </row>
    <row r="348" spans="1:8" x14ac:dyDescent="0.25">
      <c r="A348" s="1" t="str">
        <f>"456  "</f>
        <v xml:space="preserve">456  </v>
      </c>
      <c r="B348" s="1" t="s">
        <v>834</v>
      </c>
      <c r="C348" s="1" t="s">
        <v>835</v>
      </c>
      <c r="D348" s="1" t="s">
        <v>1970</v>
      </c>
      <c r="E348" s="1" t="s">
        <v>2902</v>
      </c>
      <c r="F348" s="1" t="str">
        <f>"551210680"</f>
        <v>551210680</v>
      </c>
      <c r="G348" s="1" t="str">
        <f>"8664775465"</f>
        <v>8664775465</v>
      </c>
      <c r="H348" s="1" t="s">
        <v>2688</v>
      </c>
    </row>
    <row r="349" spans="1:8" x14ac:dyDescent="0.25">
      <c r="A349" s="1" t="str">
        <f>"457  "</f>
        <v xml:space="preserve">457  </v>
      </c>
      <c r="B349" s="1" t="s">
        <v>736</v>
      </c>
      <c r="C349" s="1" t="str">
        <f>"70 GENESSE ST                                     "</f>
        <v xml:space="preserve">70 GENESSE ST                                     </v>
      </c>
      <c r="D349" s="1" t="s">
        <v>1440</v>
      </c>
      <c r="E349" s="1" t="s">
        <v>2773</v>
      </c>
      <c r="F349" s="1" t="str">
        <f>"13502    "</f>
        <v xml:space="preserve">13502    </v>
      </c>
      <c r="G349" s="1" t="str">
        <f>"8007563702"</f>
        <v>8007563702</v>
      </c>
      <c r="H349" s="1" t="s">
        <v>2688</v>
      </c>
    </row>
    <row r="350" spans="1:8" x14ac:dyDescent="0.25">
      <c r="A350" s="1" t="str">
        <f>"458  "</f>
        <v xml:space="preserve">458  </v>
      </c>
      <c r="B350" s="1" t="s">
        <v>1409</v>
      </c>
      <c r="C350" s="1" t="s">
        <v>1410</v>
      </c>
      <c r="D350" s="1" t="s">
        <v>2906</v>
      </c>
      <c r="E350" s="1" t="s">
        <v>2677</v>
      </c>
      <c r="F350" s="1" t="str">
        <f>"282668587"</f>
        <v>282668587</v>
      </c>
      <c r="G350" s="1" t="str">
        <f>"8006340069"</f>
        <v>8006340069</v>
      </c>
      <c r="H350" s="1" t="s">
        <v>2688</v>
      </c>
    </row>
    <row r="351" spans="1:8" x14ac:dyDescent="0.25">
      <c r="A351" s="1" t="str">
        <f>"459  "</f>
        <v xml:space="preserve">459  </v>
      </c>
      <c r="B351" s="1" t="s">
        <v>2586</v>
      </c>
      <c r="C351" s="1" t="str">
        <f>"5245 BIG PINE WAY, SE 33907                       "</f>
        <v xml:space="preserve">5245 BIG PINE WAY, SE 33907                       </v>
      </c>
      <c r="D351" s="1" t="s">
        <v>2587</v>
      </c>
      <c r="E351" s="1" t="s">
        <v>2832</v>
      </c>
      <c r="F351" s="1" t="str">
        <f>"33907    "</f>
        <v xml:space="preserve">33907    </v>
      </c>
      <c r="G351" s="1" t="str">
        <f>"8139366242"</f>
        <v>8139366242</v>
      </c>
      <c r="H351" s="1" t="s">
        <v>2637</v>
      </c>
    </row>
    <row r="352" spans="1:8" x14ac:dyDescent="0.25">
      <c r="A352" s="1" t="str">
        <f>"460  "</f>
        <v xml:space="preserve">460  </v>
      </c>
      <c r="B352" s="1" t="s">
        <v>2963</v>
      </c>
      <c r="C352" s="1" t="s">
        <v>2964</v>
      </c>
      <c r="D352" s="1" t="s">
        <v>2705</v>
      </c>
      <c r="E352" s="1" t="s">
        <v>2706</v>
      </c>
      <c r="F352" s="1" t="str">
        <f>"462500440"</f>
        <v>462500440</v>
      </c>
      <c r="G352" s="1" t="str">
        <f>"3175549000"</f>
        <v>3175549000</v>
      </c>
      <c r="H352" s="1" t="s">
        <v>2637</v>
      </c>
    </row>
    <row r="353" spans="1:8" x14ac:dyDescent="0.25">
      <c r="A353" s="1" t="str">
        <f>"461  "</f>
        <v xml:space="preserve">461  </v>
      </c>
      <c r="B353" s="1" t="s">
        <v>203</v>
      </c>
      <c r="C353" s="1" t="s">
        <v>204</v>
      </c>
      <c r="D353" s="1" t="s">
        <v>2673</v>
      </c>
      <c r="E353" s="1" t="s">
        <v>2674</v>
      </c>
      <c r="F353" s="1" t="str">
        <f>"841310350"</f>
        <v>841310350</v>
      </c>
      <c r="G353" s="1" t="str">
        <f>"8888668298"</f>
        <v>8888668298</v>
      </c>
      <c r="H353" s="1" t="s">
        <v>2795</v>
      </c>
    </row>
    <row r="354" spans="1:8" x14ac:dyDescent="0.25">
      <c r="A354" s="1" t="str">
        <f>"462  "</f>
        <v xml:space="preserve">462  </v>
      </c>
      <c r="B354" s="1" t="str">
        <f>"1ST MEDICAL NETWORK                               "</f>
        <v xml:space="preserve">1ST MEDICAL NETWORK                               </v>
      </c>
      <c r="C354" s="1" t="s">
        <v>2509</v>
      </c>
      <c r="D354" s="1" t="s">
        <v>2717</v>
      </c>
      <c r="E354" s="1" t="s">
        <v>2681</v>
      </c>
      <c r="F354" s="1" t="str">
        <f>"31139    "</f>
        <v xml:space="preserve">31139    </v>
      </c>
      <c r="G354" s="1" t="str">
        <f>"8889806676"</f>
        <v>8889806676</v>
      </c>
      <c r="H354" s="1" t="s">
        <v>2688</v>
      </c>
    </row>
    <row r="355" spans="1:8" x14ac:dyDescent="0.25">
      <c r="A355" s="1" t="str">
        <f>"463  "</f>
        <v xml:space="preserve">463  </v>
      </c>
      <c r="B355" s="1" t="s">
        <v>2812</v>
      </c>
      <c r="C355" s="1" t="s">
        <v>2813</v>
      </c>
      <c r="D355" s="1" t="s">
        <v>2814</v>
      </c>
      <c r="E355" s="1" t="s">
        <v>2697</v>
      </c>
      <c r="F355" s="1" t="str">
        <f>"17331    "</f>
        <v xml:space="preserve">17331    </v>
      </c>
      <c r="G355" s="1" t="str">
        <f>"7176324727"</f>
        <v>7176324727</v>
      </c>
      <c r="H355" s="1" t="s">
        <v>2637</v>
      </c>
    </row>
    <row r="356" spans="1:8" x14ac:dyDescent="0.25">
      <c r="A356" s="1" t="str">
        <f>"464  "</f>
        <v xml:space="preserve">464  </v>
      </c>
      <c r="B356" s="1" t="s">
        <v>789</v>
      </c>
      <c r="C356" s="1" t="str">
        <f>"407 N. FULTON STREET                              "</f>
        <v xml:space="preserve">407 N. FULTON STREET                              </v>
      </c>
      <c r="D356" s="1" t="s">
        <v>2705</v>
      </c>
      <c r="E356" s="1" t="s">
        <v>2706</v>
      </c>
      <c r="F356" s="1" t="str">
        <f>"46202    "</f>
        <v xml:space="preserve">46202    </v>
      </c>
      <c r="G356" s="1" t="str">
        <f>"8006284664"</f>
        <v>8006284664</v>
      </c>
      <c r="H356" s="1" t="s">
        <v>2637</v>
      </c>
    </row>
    <row r="357" spans="1:8" x14ac:dyDescent="0.25">
      <c r="A357" s="1" t="str">
        <f>"465  "</f>
        <v xml:space="preserve">465  </v>
      </c>
      <c r="B357" s="1" t="s">
        <v>2594</v>
      </c>
      <c r="C357" s="1" t="s">
        <v>2595</v>
      </c>
      <c r="D357" s="1" t="s">
        <v>2596</v>
      </c>
      <c r="E357" s="1" t="s">
        <v>2826</v>
      </c>
      <c r="F357" s="1" t="str">
        <f>"801553559"</f>
        <v>801553559</v>
      </c>
      <c r="G357" s="1" t="str">
        <f>"3037705710"</f>
        <v>3037705710</v>
      </c>
      <c r="H357" s="1" t="s">
        <v>2637</v>
      </c>
    </row>
    <row r="358" spans="1:8" x14ac:dyDescent="0.25">
      <c r="A358" s="1" t="str">
        <f>"466  "</f>
        <v xml:space="preserve">466  </v>
      </c>
      <c r="B358" s="1" t="s">
        <v>402</v>
      </c>
      <c r="C358" s="1" t="s">
        <v>403</v>
      </c>
      <c r="D358" s="1" t="s">
        <v>404</v>
      </c>
      <c r="E358" s="1" t="s">
        <v>2902</v>
      </c>
      <c r="F358" s="1" t="str">
        <f>"554420150"</f>
        <v>554420150</v>
      </c>
      <c r="G358" s="1" t="str">
        <f>"8009554879"</f>
        <v>8009554879</v>
      </c>
      <c r="H358" s="1" t="s">
        <v>1770</v>
      </c>
    </row>
    <row r="359" spans="1:8" x14ac:dyDescent="0.25">
      <c r="A359" s="1" t="str">
        <f>"467  "</f>
        <v xml:space="preserve">467  </v>
      </c>
      <c r="B359" s="1" t="s">
        <v>1056</v>
      </c>
      <c r="C359" s="1" t="s">
        <v>1057</v>
      </c>
      <c r="D359" s="1" t="s">
        <v>2923</v>
      </c>
      <c r="E359" s="1" t="s">
        <v>2714</v>
      </c>
      <c r="F359" s="1" t="str">
        <f>"432182173"</f>
        <v>432182173</v>
      </c>
      <c r="G359" s="1" t="str">
        <f>"8008482664"</f>
        <v>8008482664</v>
      </c>
      <c r="H359" s="1" t="s">
        <v>2336</v>
      </c>
    </row>
    <row r="360" spans="1:8" x14ac:dyDescent="0.25">
      <c r="A360" s="1" t="str">
        <f>"468  "</f>
        <v xml:space="preserve">468  </v>
      </c>
      <c r="B360" s="1" t="s">
        <v>620</v>
      </c>
      <c r="C360" s="1" t="s">
        <v>2431</v>
      </c>
      <c r="D360" s="1" t="s">
        <v>2413</v>
      </c>
      <c r="E360" s="1" t="s">
        <v>2636</v>
      </c>
      <c r="F360" s="1" t="str">
        <f>"76015    "</f>
        <v xml:space="preserve">76015    </v>
      </c>
      <c r="G360" s="1" t="str">
        <f>"8003976241"</f>
        <v>8003976241</v>
      </c>
      <c r="H360" s="1" t="s">
        <v>2637</v>
      </c>
    </row>
    <row r="361" spans="1:8" x14ac:dyDescent="0.25">
      <c r="A361" s="1" t="str">
        <f>"469  "</f>
        <v xml:space="preserve">469  </v>
      </c>
      <c r="B361" s="1" t="s">
        <v>2715</v>
      </c>
      <c r="C361" s="1" t="s">
        <v>2716</v>
      </c>
      <c r="D361" s="1" t="s">
        <v>2717</v>
      </c>
      <c r="E361" s="1" t="s">
        <v>2681</v>
      </c>
      <c r="F361" s="1" t="str">
        <f>"30374    "</f>
        <v xml:space="preserve">30374    </v>
      </c>
      <c r="G361" s="1" t="str">
        <f>"8005235880"</f>
        <v>8005235880</v>
      </c>
      <c r="H361" s="1" t="s">
        <v>2637</v>
      </c>
    </row>
    <row r="362" spans="1:8" x14ac:dyDescent="0.25">
      <c r="A362" s="1" t="str">
        <f>"470  "</f>
        <v xml:space="preserve">470  </v>
      </c>
      <c r="B362" s="1" t="s">
        <v>2946</v>
      </c>
      <c r="C362" s="1" t="str">
        <f>"1001 LEBANON RD                                   "</f>
        <v xml:space="preserve">1001 LEBANON RD                                   </v>
      </c>
      <c r="D362" s="1" t="s">
        <v>2947</v>
      </c>
      <c r="E362" s="1" t="s">
        <v>2660</v>
      </c>
      <c r="F362" s="1" t="str">
        <f>"29670    "</f>
        <v xml:space="preserve">29670    </v>
      </c>
      <c r="G362" s="1" t="str">
        <f>"8646468331"</f>
        <v>8646468331</v>
      </c>
      <c r="H362" s="1" t="s">
        <v>2637</v>
      </c>
    </row>
    <row r="363" spans="1:8" x14ac:dyDescent="0.25">
      <c r="A363" s="1" t="str">
        <f>"471  "</f>
        <v xml:space="preserve">471  </v>
      </c>
      <c r="B363" s="1" t="s">
        <v>756</v>
      </c>
      <c r="C363" s="1" t="s">
        <v>757</v>
      </c>
      <c r="D363" s="1" t="s">
        <v>2808</v>
      </c>
      <c r="E363" s="1" t="s">
        <v>2809</v>
      </c>
      <c r="F363" s="1" t="str">
        <f>"850722195"</f>
        <v>850722195</v>
      </c>
      <c r="G363" s="1" t="str">
        <f>"8003030187"</f>
        <v>8003030187</v>
      </c>
      <c r="H363" s="1" t="s">
        <v>2637</v>
      </c>
    </row>
    <row r="364" spans="1:8" x14ac:dyDescent="0.25">
      <c r="A364" s="1" t="str">
        <f>"472  "</f>
        <v xml:space="preserve">472  </v>
      </c>
      <c r="B364" s="1" t="s">
        <v>509</v>
      </c>
      <c r="C364" s="1" t="s">
        <v>510</v>
      </c>
      <c r="D364" s="1" t="s">
        <v>511</v>
      </c>
      <c r="E364" s="1" t="s">
        <v>2970</v>
      </c>
      <c r="F364" s="1" t="str">
        <f>"371331398"</f>
        <v>371331398</v>
      </c>
      <c r="G364" s="1" t="str">
        <f>"6158902020"</f>
        <v>6158902020</v>
      </c>
      <c r="H364" s="1" t="s">
        <v>2637</v>
      </c>
    </row>
    <row r="365" spans="1:8" x14ac:dyDescent="0.25">
      <c r="A365" s="1" t="str">
        <f>"473  "</f>
        <v xml:space="preserve">473  </v>
      </c>
      <c r="B365" s="1" t="s">
        <v>1630</v>
      </c>
      <c r="C365" s="1" t="s">
        <v>1631</v>
      </c>
      <c r="D365" s="1" t="s">
        <v>1540</v>
      </c>
      <c r="E365" s="1" t="s">
        <v>3164</v>
      </c>
      <c r="F365" s="1" t="str">
        <f>"232300767"</f>
        <v>232300767</v>
      </c>
      <c r="G365" s="1" t="str">
        <f>"8042191585"</f>
        <v>8042191585</v>
      </c>
      <c r="H365" s="1" t="s">
        <v>2688</v>
      </c>
    </row>
    <row r="366" spans="1:8" x14ac:dyDescent="0.25">
      <c r="A366" s="1" t="str">
        <f>"474  "</f>
        <v xml:space="preserve">474  </v>
      </c>
      <c r="B366" s="1" t="s">
        <v>1767</v>
      </c>
      <c r="C366" s="1" t="s">
        <v>1768</v>
      </c>
      <c r="D366" s="1" t="s">
        <v>1769</v>
      </c>
      <c r="E366" s="1" t="s">
        <v>2902</v>
      </c>
      <c r="F366" s="1" t="str">
        <f>"55816    "</f>
        <v xml:space="preserve">55816    </v>
      </c>
      <c r="G366" s="1" t="str">
        <f>"8002338065"</f>
        <v>8002338065</v>
      </c>
      <c r="H366" s="1" t="s">
        <v>1770</v>
      </c>
    </row>
    <row r="367" spans="1:8" x14ac:dyDescent="0.25">
      <c r="A367" s="1" t="str">
        <f>"475  "</f>
        <v xml:space="preserve">475  </v>
      </c>
      <c r="B367" s="1" t="s">
        <v>2473</v>
      </c>
      <c r="C367" s="1" t="s">
        <v>2474</v>
      </c>
      <c r="D367" s="1" t="s">
        <v>2475</v>
      </c>
      <c r="E367" s="1" t="s">
        <v>3014</v>
      </c>
      <c r="F367" s="1" t="str">
        <f>"25526    "</f>
        <v xml:space="preserve">25526    </v>
      </c>
      <c r="G367" s="1" t="str">
        <f>"3045621913"</f>
        <v>3045621913</v>
      </c>
      <c r="H367" s="1" t="s">
        <v>2637</v>
      </c>
    </row>
    <row r="368" spans="1:8" x14ac:dyDescent="0.25">
      <c r="A368" s="1" t="str">
        <f>"476  "</f>
        <v xml:space="preserve">476  </v>
      </c>
      <c r="B368" s="1" t="s">
        <v>2532</v>
      </c>
      <c r="C368" s="1" t="s">
        <v>2533</v>
      </c>
      <c r="D368" s="1" t="s">
        <v>2534</v>
      </c>
      <c r="E368" s="1" t="s">
        <v>2786</v>
      </c>
      <c r="F368" s="1" t="str">
        <f>"60017    "</f>
        <v xml:space="preserve">60017    </v>
      </c>
      <c r="G368" s="1" t="str">
        <f>"8003235000"</f>
        <v>8003235000</v>
      </c>
      <c r="H368" s="1" t="s">
        <v>2637</v>
      </c>
    </row>
    <row r="369" spans="1:8" x14ac:dyDescent="0.25">
      <c r="A369" s="1" t="str">
        <f>"477  "</f>
        <v xml:space="preserve">477  </v>
      </c>
      <c r="B369" s="1" t="s">
        <v>2273</v>
      </c>
      <c r="C369" s="1" t="s">
        <v>2274</v>
      </c>
      <c r="D369" s="1" t="s">
        <v>2275</v>
      </c>
      <c r="E369" s="1" t="s">
        <v>2636</v>
      </c>
      <c r="F369" s="1" t="str">
        <f>"761828009"</f>
        <v>761828009</v>
      </c>
      <c r="G369" s="1" t="str">
        <f>"8005272845"</f>
        <v>8005272845</v>
      </c>
      <c r="H369" s="1" t="s">
        <v>2637</v>
      </c>
    </row>
    <row r="370" spans="1:8" x14ac:dyDescent="0.25">
      <c r="A370" s="1" t="str">
        <f>"478  "</f>
        <v xml:space="preserve">478  </v>
      </c>
      <c r="B370" s="1" t="s">
        <v>2518</v>
      </c>
      <c r="C370" s="1" t="s">
        <v>2519</v>
      </c>
      <c r="D370" s="1" t="s">
        <v>2465</v>
      </c>
      <c r="E370" s="1" t="s">
        <v>2636</v>
      </c>
      <c r="F370" s="1" t="str">
        <f>"76161    "</f>
        <v xml:space="preserve">76161    </v>
      </c>
      <c r="G370" s="1" t="str">
        <f>"8008672582"</f>
        <v>8008672582</v>
      </c>
      <c r="H370" s="1" t="s">
        <v>2637</v>
      </c>
    </row>
    <row r="371" spans="1:8" x14ac:dyDescent="0.25">
      <c r="A371" s="1" t="str">
        <f>"479  "</f>
        <v xml:space="preserve">479  </v>
      </c>
      <c r="B371" s="1" t="s">
        <v>2122</v>
      </c>
      <c r="C371" s="1" t="s">
        <v>2123</v>
      </c>
      <c r="D371" s="1" t="s">
        <v>2997</v>
      </c>
      <c r="E371" s="1" t="s">
        <v>2714</v>
      </c>
      <c r="F371" s="1" t="str">
        <f>"44087    "</f>
        <v xml:space="preserve">44087    </v>
      </c>
      <c r="G371" s="1" t="str">
        <f>"8004334893"</f>
        <v>8004334893</v>
      </c>
      <c r="H371" s="1" t="s">
        <v>2637</v>
      </c>
    </row>
    <row r="372" spans="1:8" x14ac:dyDescent="0.25">
      <c r="A372" s="1" t="str">
        <f>"480  "</f>
        <v xml:space="preserve">480  </v>
      </c>
      <c r="B372" s="1" t="s">
        <v>2392</v>
      </c>
      <c r="C372" s="1" t="s">
        <v>2393</v>
      </c>
      <c r="D372" s="1" t="s">
        <v>2791</v>
      </c>
      <c r="E372" s="1" t="s">
        <v>2744</v>
      </c>
      <c r="F372" s="1" t="str">
        <f>"40742    "</f>
        <v xml:space="preserve">40742    </v>
      </c>
      <c r="G372" s="1" t="str">
        <f>"8008891947"</f>
        <v>8008891947</v>
      </c>
      <c r="H372" s="1" t="s">
        <v>2394</v>
      </c>
    </row>
    <row r="373" spans="1:8" x14ac:dyDescent="0.25">
      <c r="A373" s="1" t="str">
        <f>"481  "</f>
        <v xml:space="preserve">481  </v>
      </c>
      <c r="B373" s="1" t="s">
        <v>422</v>
      </c>
      <c r="C373" s="1" t="str">
        <f>"3481 CENTRAL PARKWAY, STE 200                     "</f>
        <v xml:space="preserve">3481 CENTRAL PARKWAY, STE 200                     </v>
      </c>
      <c r="D373" s="1" t="s">
        <v>3070</v>
      </c>
      <c r="E373" s="1" t="s">
        <v>2714</v>
      </c>
      <c r="F373" s="1" t="str">
        <f>"45223    "</f>
        <v xml:space="preserve">45223    </v>
      </c>
      <c r="G373" s="1" t="str">
        <f>"8006816912"</f>
        <v>8006816912</v>
      </c>
      <c r="H373" s="1" t="s">
        <v>2688</v>
      </c>
    </row>
    <row r="374" spans="1:8" x14ac:dyDescent="0.25">
      <c r="A374" s="1" t="str">
        <f>"482  "</f>
        <v xml:space="preserve">482  </v>
      </c>
      <c r="B374" s="1" t="s">
        <v>1218</v>
      </c>
      <c r="C374" s="1" t="s">
        <v>1219</v>
      </c>
      <c r="D374" s="1" t="s">
        <v>2791</v>
      </c>
      <c r="E374" s="1" t="s">
        <v>2744</v>
      </c>
      <c r="F374" s="1" t="str">
        <f>"40742    "</f>
        <v xml:space="preserve">40742    </v>
      </c>
      <c r="G374" s="1" t="str">
        <f>"8667321017"</f>
        <v>8667321017</v>
      </c>
      <c r="H374" s="1" t="s">
        <v>2637</v>
      </c>
    </row>
    <row r="375" spans="1:8" x14ac:dyDescent="0.25">
      <c r="A375" s="1" t="str">
        <f>"483  "</f>
        <v xml:space="preserve">483  </v>
      </c>
      <c r="B375" s="1" t="s">
        <v>1379</v>
      </c>
      <c r="C375" s="1" t="s">
        <v>1380</v>
      </c>
      <c r="D375" s="1" t="s">
        <v>1381</v>
      </c>
      <c r="E375" s="1" t="s">
        <v>2862</v>
      </c>
      <c r="F375" s="1" t="str">
        <f>"68506    "</f>
        <v xml:space="preserve">68506    </v>
      </c>
      <c r="G375" s="1" t="str">
        <f>"4024839250"</f>
        <v>4024839250</v>
      </c>
      <c r="H375" s="1" t="s">
        <v>2637</v>
      </c>
    </row>
    <row r="376" spans="1:8" x14ac:dyDescent="0.25">
      <c r="A376" s="1" t="str">
        <f>"484  "</f>
        <v xml:space="preserve">484  </v>
      </c>
      <c r="B376" s="1" t="s">
        <v>2064</v>
      </c>
      <c r="C376" s="1" t="s">
        <v>2065</v>
      </c>
      <c r="D376" s="1" t="s">
        <v>3144</v>
      </c>
      <c r="E376" s="1" t="s">
        <v>2681</v>
      </c>
      <c r="F376" s="1" t="str">
        <f>"30061    "</f>
        <v xml:space="preserve">30061    </v>
      </c>
      <c r="G376" s="1" t="str">
        <f>"7704281604"</f>
        <v>7704281604</v>
      </c>
      <c r="H376" s="1" t="s">
        <v>2637</v>
      </c>
    </row>
    <row r="377" spans="1:8" x14ac:dyDescent="0.25">
      <c r="A377" s="1" t="str">
        <f>"485  "</f>
        <v xml:space="preserve">485  </v>
      </c>
      <c r="B377" s="1" t="s">
        <v>337</v>
      </c>
      <c r="C377" s="1" t="s">
        <v>338</v>
      </c>
      <c r="D377" s="1" t="s">
        <v>2126</v>
      </c>
      <c r="E377" s="1" t="s">
        <v>2127</v>
      </c>
      <c r="F377" s="1" t="str">
        <f>"972083125"</f>
        <v>972083125</v>
      </c>
      <c r="G377" s="1" t="str">
        <f>"8006283912"</f>
        <v>8006283912</v>
      </c>
      <c r="H377" s="1" t="s">
        <v>2688</v>
      </c>
    </row>
    <row r="378" spans="1:8" x14ac:dyDescent="0.25">
      <c r="A378" s="1" t="str">
        <f>"486  "</f>
        <v xml:space="preserve">486  </v>
      </c>
      <c r="B378" s="1" t="s">
        <v>1161</v>
      </c>
      <c r="C378" s="1" t="s">
        <v>1162</v>
      </c>
      <c r="D378" s="1" t="s">
        <v>3180</v>
      </c>
      <c r="E378" s="1" t="s">
        <v>2773</v>
      </c>
      <c r="F378" s="1" t="str">
        <f>"146922920"</f>
        <v>146922920</v>
      </c>
      <c r="G378" s="1" t="str">
        <f>"8009993920"</f>
        <v>8009993920</v>
      </c>
      <c r="H378" s="1" t="s">
        <v>2795</v>
      </c>
    </row>
    <row r="379" spans="1:8" x14ac:dyDescent="0.25">
      <c r="A379" s="1" t="str">
        <f>"487  "</f>
        <v xml:space="preserve">487  </v>
      </c>
      <c r="B379" s="1" t="s">
        <v>1406</v>
      </c>
      <c r="C379" s="1" t="s">
        <v>1407</v>
      </c>
      <c r="D379" s="1" t="s">
        <v>1408</v>
      </c>
      <c r="E379" s="1" t="s">
        <v>2660</v>
      </c>
      <c r="F379" s="1" t="str">
        <f>"29571    "</f>
        <v xml:space="preserve">29571    </v>
      </c>
      <c r="G379" s="1" t="str">
        <f>"8434235541"</f>
        <v>8434235541</v>
      </c>
      <c r="H379" s="1" t="s">
        <v>2637</v>
      </c>
    </row>
    <row r="380" spans="1:8" x14ac:dyDescent="0.25">
      <c r="A380" s="1" t="str">
        <f>"488  "</f>
        <v xml:space="preserve">488  </v>
      </c>
      <c r="B380" s="1" t="s">
        <v>2209</v>
      </c>
      <c r="C380" s="1" t="str">
        <f>"8310 PORT JACKSON AVE NORTHWEST                   "</f>
        <v xml:space="preserve">8310 PORT JACKSON AVE NORTHWEST                   </v>
      </c>
      <c r="D380" s="1" t="s">
        <v>2210</v>
      </c>
      <c r="E380" s="1" t="s">
        <v>2714</v>
      </c>
      <c r="F380" s="1" t="str">
        <f>"44720    "</f>
        <v xml:space="preserve">44720    </v>
      </c>
      <c r="G380" s="1" t="str">
        <f>"3309665500"</f>
        <v>3309665500</v>
      </c>
      <c r="H380" s="1" t="s">
        <v>2637</v>
      </c>
    </row>
    <row r="381" spans="1:8" x14ac:dyDescent="0.25">
      <c r="A381" s="1" t="str">
        <f>"489  "</f>
        <v xml:space="preserve">489  </v>
      </c>
      <c r="B381" s="1" t="s">
        <v>604</v>
      </c>
      <c r="C381" s="1" t="s">
        <v>605</v>
      </c>
      <c r="D381" s="1" t="s">
        <v>606</v>
      </c>
      <c r="E381" s="1" t="s">
        <v>2862</v>
      </c>
      <c r="F381" s="1" t="str">
        <f>"68026    "</f>
        <v xml:space="preserve">68026    </v>
      </c>
      <c r="G381" s="1" t="str">
        <f>"8003506714"</f>
        <v>8003506714</v>
      </c>
      <c r="H381" s="1" t="s">
        <v>2637</v>
      </c>
    </row>
    <row r="382" spans="1:8" x14ac:dyDescent="0.25">
      <c r="A382" s="1" t="str">
        <f>"490  "</f>
        <v xml:space="preserve">490  </v>
      </c>
      <c r="B382" s="1" t="s">
        <v>2484</v>
      </c>
      <c r="C382" s="1" t="s">
        <v>2485</v>
      </c>
      <c r="D382" s="1" t="s">
        <v>2705</v>
      </c>
      <c r="E382" s="1" t="s">
        <v>2706</v>
      </c>
      <c r="F382" s="1" t="str">
        <f>"43242    "</f>
        <v xml:space="preserve">43242    </v>
      </c>
      <c r="G382" s="1" t="str">
        <f>"8002482141"</f>
        <v>8002482141</v>
      </c>
      <c r="H382" s="1" t="s">
        <v>2688</v>
      </c>
    </row>
    <row r="383" spans="1:8" x14ac:dyDescent="0.25">
      <c r="A383" s="1" t="str">
        <f>"491  "</f>
        <v xml:space="preserve">491  </v>
      </c>
      <c r="B383" s="1" t="s">
        <v>1189</v>
      </c>
      <c r="C383" s="1" t="s">
        <v>1190</v>
      </c>
      <c r="D383" s="1" t="s">
        <v>1732</v>
      </c>
      <c r="E383" s="1" t="s">
        <v>2663</v>
      </c>
      <c r="F383" s="1" t="str">
        <f>"958997100"</f>
        <v>958997100</v>
      </c>
      <c r="G383" s="1" t="str">
        <f>"8006227444"</f>
        <v>8006227444</v>
      </c>
      <c r="H383" s="1" t="s">
        <v>2637</v>
      </c>
    </row>
    <row r="384" spans="1:8" x14ac:dyDescent="0.25">
      <c r="A384" s="1" t="str">
        <f>"492  "</f>
        <v xml:space="preserve">492  </v>
      </c>
      <c r="B384" s="1" t="s">
        <v>2593</v>
      </c>
      <c r="C384" s="1" t="str">
        <f>"111100 WAYZATA BLVD                               "</f>
        <v xml:space="preserve">111100 WAYZATA BLVD                               </v>
      </c>
      <c r="D384" s="1" t="s">
        <v>2901</v>
      </c>
      <c r="E384" s="1" t="s">
        <v>2902</v>
      </c>
      <c r="F384" s="1" t="str">
        <f>"55305    "</f>
        <v xml:space="preserve">55305    </v>
      </c>
      <c r="G384" s="1" t="s">
        <v>2637</v>
      </c>
      <c r="H384" s="1" t="s">
        <v>2688</v>
      </c>
    </row>
    <row r="385" spans="1:8" x14ac:dyDescent="0.25">
      <c r="A385" s="1" t="str">
        <f>"493  "</f>
        <v xml:space="preserve">493  </v>
      </c>
      <c r="B385" s="1" t="s">
        <v>1331</v>
      </c>
      <c r="C385" s="1" t="s">
        <v>2897</v>
      </c>
      <c r="D385" s="1" t="s">
        <v>2805</v>
      </c>
      <c r="E385" s="1" t="s">
        <v>2636</v>
      </c>
      <c r="F385" s="1" t="str">
        <f>"787553010"</f>
        <v>787553010</v>
      </c>
      <c r="G385" s="1" t="str">
        <f>"8668808824"</f>
        <v>8668808824</v>
      </c>
      <c r="H385" s="1" t="s">
        <v>2637</v>
      </c>
    </row>
    <row r="386" spans="1:8" x14ac:dyDescent="0.25">
      <c r="A386" s="1" t="str">
        <f>"494  "</f>
        <v xml:space="preserve">494  </v>
      </c>
      <c r="B386" s="1" t="s">
        <v>1554</v>
      </c>
      <c r="C386" s="1" t="str">
        <f>"3724 N 3RD ST STE 300                             "</f>
        <v xml:space="preserve">3724 N 3RD ST STE 300                             </v>
      </c>
      <c r="D386" s="1" t="s">
        <v>2808</v>
      </c>
      <c r="E386" s="1" t="s">
        <v>2809</v>
      </c>
      <c r="F386" s="1" t="str">
        <f>"85012    "</f>
        <v xml:space="preserve">85012    </v>
      </c>
      <c r="G386" s="1" t="str">
        <f>"6022413400"</f>
        <v>6022413400</v>
      </c>
      <c r="H386" s="1" t="s">
        <v>2637</v>
      </c>
    </row>
    <row r="387" spans="1:8" x14ac:dyDescent="0.25">
      <c r="A387" s="1" t="str">
        <f>"495  "</f>
        <v xml:space="preserve">495  </v>
      </c>
      <c r="B387" s="1" t="s">
        <v>288</v>
      </c>
      <c r="C387" s="1" t="s">
        <v>289</v>
      </c>
      <c r="D387" s="1" t="s">
        <v>290</v>
      </c>
      <c r="E387" s="1" t="s">
        <v>2821</v>
      </c>
      <c r="F387" s="1" t="str">
        <f>"079361981"</f>
        <v>079361981</v>
      </c>
      <c r="G387" s="1" t="str">
        <f>"8005226727"</f>
        <v>8005226727</v>
      </c>
      <c r="H387" s="1" t="s">
        <v>291</v>
      </c>
    </row>
    <row r="388" spans="1:8" x14ac:dyDescent="0.25">
      <c r="A388" s="1" t="str">
        <f>"496  "</f>
        <v xml:space="preserve">496  </v>
      </c>
      <c r="B388" s="1" t="s">
        <v>1809</v>
      </c>
      <c r="C388" s="1" t="s">
        <v>1810</v>
      </c>
      <c r="D388" s="1" t="s">
        <v>2154</v>
      </c>
      <c r="E388" s="1" t="s">
        <v>2786</v>
      </c>
      <c r="F388" s="1" t="str">
        <f>"606049720"</f>
        <v>606049720</v>
      </c>
      <c r="G388" s="1" t="str">
        <f>"8006216360"</f>
        <v>8006216360</v>
      </c>
      <c r="H388" s="1" t="s">
        <v>2637</v>
      </c>
    </row>
    <row r="389" spans="1:8" x14ac:dyDescent="0.25">
      <c r="A389" s="1" t="str">
        <f>"497  "</f>
        <v xml:space="preserve">497  </v>
      </c>
      <c r="B389" s="1" t="s">
        <v>943</v>
      </c>
      <c r="C389" s="1" t="s">
        <v>944</v>
      </c>
      <c r="D389" s="1" t="s">
        <v>2036</v>
      </c>
      <c r="E389" s="1" t="s">
        <v>2677</v>
      </c>
      <c r="F389" s="1" t="str">
        <f>"27116    "</f>
        <v xml:space="preserve">27116    </v>
      </c>
      <c r="G389" s="1" t="str">
        <f>"8663074711"</f>
        <v>8663074711</v>
      </c>
      <c r="H389" s="1" t="s">
        <v>2637</v>
      </c>
    </row>
    <row r="390" spans="1:8" x14ac:dyDescent="0.25">
      <c r="A390" s="1" t="str">
        <f>"498  "</f>
        <v xml:space="preserve">498  </v>
      </c>
      <c r="B390" s="1" t="s">
        <v>953</v>
      </c>
      <c r="C390" s="1" t="s">
        <v>954</v>
      </c>
      <c r="D390" s="1" t="s">
        <v>2616</v>
      </c>
      <c r="E390" s="1" t="s">
        <v>2660</v>
      </c>
      <c r="F390" s="1" t="str">
        <f>"29304    "</f>
        <v xml:space="preserve">29304    </v>
      </c>
      <c r="G390" s="1" t="str">
        <f>"8645736937"</f>
        <v>8645736937</v>
      </c>
      <c r="H390" s="1" t="s">
        <v>2637</v>
      </c>
    </row>
    <row r="391" spans="1:8" x14ac:dyDescent="0.25">
      <c r="A391" s="1" t="str">
        <f>"499  "</f>
        <v xml:space="preserve">499  </v>
      </c>
      <c r="B391" s="1" t="s">
        <v>214</v>
      </c>
      <c r="C391" s="1" t="s">
        <v>215</v>
      </c>
      <c r="D391" s="1" t="s">
        <v>216</v>
      </c>
      <c r="E391" s="1" t="s">
        <v>2714</v>
      </c>
      <c r="F391" s="1" t="str">
        <f>"45839    "</f>
        <v xml:space="preserve">45839    </v>
      </c>
      <c r="G391" s="1" t="str">
        <f>"8005587798"</f>
        <v>8005587798</v>
      </c>
      <c r="H391" s="1" t="s">
        <v>2637</v>
      </c>
    </row>
    <row r="392" spans="1:8" x14ac:dyDescent="0.25">
      <c r="A392" s="1" t="str">
        <f>"500  "</f>
        <v xml:space="preserve">500  </v>
      </c>
      <c r="B392" s="1" t="s">
        <v>1798</v>
      </c>
      <c r="C392" s="1" t="s">
        <v>1799</v>
      </c>
      <c r="D392" s="1" t="s">
        <v>2052</v>
      </c>
      <c r="E392" s="1" t="s">
        <v>2681</v>
      </c>
      <c r="F392" s="1" t="str">
        <f>"30023    "</f>
        <v xml:space="preserve">30023    </v>
      </c>
      <c r="G392" s="1" t="str">
        <f>"8005212651"</f>
        <v>8005212651</v>
      </c>
      <c r="H392" s="1" t="s">
        <v>2637</v>
      </c>
    </row>
    <row r="393" spans="1:8" x14ac:dyDescent="0.25">
      <c r="A393" s="1" t="str">
        <f>"501  "</f>
        <v xml:space="preserve">501  </v>
      </c>
      <c r="B393" s="1" t="s">
        <v>3114</v>
      </c>
      <c r="C393" s="1" t="str">
        <f>"4850 STREET ROAD                                  "</f>
        <v xml:space="preserve">4850 STREET ROAD                                  </v>
      </c>
      <c r="D393" s="1" t="s">
        <v>3115</v>
      </c>
      <c r="E393" s="1" t="s">
        <v>2697</v>
      </c>
      <c r="F393" s="1" t="str">
        <f>"19049-   "</f>
        <v xml:space="preserve">19049-   </v>
      </c>
      <c r="G393" s="1" t="str">
        <f>"8005236599"</f>
        <v>8005236599</v>
      </c>
      <c r="H393" s="1" t="s">
        <v>2637</v>
      </c>
    </row>
    <row r="394" spans="1:8" x14ac:dyDescent="0.25">
      <c r="A394" s="1" t="str">
        <f>"502  "</f>
        <v xml:space="preserve">502  </v>
      </c>
      <c r="B394" s="1" t="s">
        <v>2478</v>
      </c>
      <c r="C394" s="1" t="s">
        <v>2479</v>
      </c>
      <c r="D394" s="1" t="s">
        <v>2772</v>
      </c>
      <c r="E394" s="1" t="s">
        <v>2773</v>
      </c>
      <c r="F394" s="1" t="str">
        <f>"101162803"</f>
        <v>101162803</v>
      </c>
      <c r="G394" s="1" t="str">
        <f>"8004478255"</f>
        <v>8004478255</v>
      </c>
      <c r="H394" s="1" t="s">
        <v>2795</v>
      </c>
    </row>
    <row r="395" spans="1:8" x14ac:dyDescent="0.25">
      <c r="A395" s="1" t="str">
        <f>"503  "</f>
        <v xml:space="preserve">503  </v>
      </c>
      <c r="B395" s="1" t="s">
        <v>2390</v>
      </c>
      <c r="C395" s="1" t="str">
        <f>"509 SOUTH LENOLA RD. BLDG TWO                     "</f>
        <v xml:space="preserve">509 SOUTH LENOLA RD. BLDG TWO                     </v>
      </c>
      <c r="D395" s="1" t="s">
        <v>2391</v>
      </c>
      <c r="E395" s="1" t="s">
        <v>2821</v>
      </c>
      <c r="F395" s="1" t="str">
        <f>"08057    "</f>
        <v xml:space="preserve">08057    </v>
      </c>
      <c r="G395" s="1" t="str">
        <f>"8003597475"</f>
        <v>8003597475</v>
      </c>
      <c r="H395" s="1" t="s">
        <v>2637</v>
      </c>
    </row>
    <row r="396" spans="1:8" x14ac:dyDescent="0.25">
      <c r="A396" s="1" t="str">
        <f>"504  "</f>
        <v xml:space="preserve">504  </v>
      </c>
      <c r="B396" s="1" t="s">
        <v>1819</v>
      </c>
      <c r="C396" s="1" t="s">
        <v>1820</v>
      </c>
      <c r="D396" s="1" t="s">
        <v>1821</v>
      </c>
      <c r="E396" s="1" t="s">
        <v>2644</v>
      </c>
      <c r="F396" s="1" t="str">
        <f>"481130779"</f>
        <v>481130779</v>
      </c>
      <c r="G396" s="1" t="str">
        <f>"2156578920"</f>
        <v>2156578920</v>
      </c>
      <c r="H396" s="1" t="s">
        <v>2735</v>
      </c>
    </row>
    <row r="397" spans="1:8" x14ac:dyDescent="0.25">
      <c r="A397" s="1" t="str">
        <f>"505  "</f>
        <v xml:space="preserve">505  </v>
      </c>
      <c r="B397" s="1" t="s">
        <v>2090</v>
      </c>
      <c r="C397" s="1" t="s">
        <v>2091</v>
      </c>
      <c r="D397" s="1" t="s">
        <v>2652</v>
      </c>
      <c r="E397" s="1" t="s">
        <v>2647</v>
      </c>
      <c r="F397" s="1" t="str">
        <f>"212857806"</f>
        <v>212857806</v>
      </c>
      <c r="G397" s="1" t="str">
        <f>"8006382972"</f>
        <v>8006382972</v>
      </c>
      <c r="H397" s="1" t="s">
        <v>2637</v>
      </c>
    </row>
    <row r="398" spans="1:8" x14ac:dyDescent="0.25">
      <c r="A398" s="1" t="str">
        <f>"506  "</f>
        <v xml:space="preserve">506  </v>
      </c>
      <c r="B398" s="1" t="s">
        <v>1246</v>
      </c>
      <c r="C398" s="1" t="s">
        <v>1247</v>
      </c>
      <c r="D398" s="1" t="s">
        <v>1248</v>
      </c>
      <c r="E398" s="1" t="s">
        <v>3226</v>
      </c>
      <c r="F398" s="1" t="str">
        <f>"03842    "</f>
        <v xml:space="preserve">03842    </v>
      </c>
      <c r="G398" s="1" t="str">
        <f>"8002587298"</f>
        <v>8002587298</v>
      </c>
      <c r="H398" s="1" t="s">
        <v>2637</v>
      </c>
    </row>
    <row r="399" spans="1:8" x14ac:dyDescent="0.25">
      <c r="A399" s="1" t="str">
        <f>"507  "</f>
        <v xml:space="preserve">507  </v>
      </c>
      <c r="B399" s="1" t="s">
        <v>1609</v>
      </c>
      <c r="C399" s="1" t="s">
        <v>1610</v>
      </c>
      <c r="D399" s="1" t="s">
        <v>2891</v>
      </c>
      <c r="E399" s="1" t="s">
        <v>2862</v>
      </c>
      <c r="F399" s="1" t="str">
        <f>"68134    "</f>
        <v xml:space="preserve">68134    </v>
      </c>
      <c r="G399" s="1" t="str">
        <f>"4023971111"</f>
        <v>4023971111</v>
      </c>
      <c r="H399" s="1" t="s">
        <v>2637</v>
      </c>
    </row>
    <row r="400" spans="1:8" x14ac:dyDescent="0.25">
      <c r="A400" s="1" t="str">
        <f>"508  "</f>
        <v xml:space="preserve">508  </v>
      </c>
      <c r="B400" s="1" t="s">
        <v>645</v>
      </c>
      <c r="C400" s="1" t="s">
        <v>646</v>
      </c>
      <c r="D400" s="1" t="s">
        <v>2772</v>
      </c>
      <c r="E400" s="1" t="s">
        <v>2773</v>
      </c>
      <c r="F400" s="1" t="str">
        <f>"101163000"</f>
        <v>101163000</v>
      </c>
      <c r="G400" s="1" t="str">
        <f>"2125014444"</f>
        <v>2125014444</v>
      </c>
      <c r="H400" s="1" t="s">
        <v>2637</v>
      </c>
    </row>
    <row r="401" spans="1:8" x14ac:dyDescent="0.25">
      <c r="A401" s="1" t="str">
        <f>"509  "</f>
        <v xml:space="preserve">509  </v>
      </c>
      <c r="B401" s="1" t="s">
        <v>1171</v>
      </c>
      <c r="C401" s="1" t="s">
        <v>1172</v>
      </c>
      <c r="D401" s="1" t="s">
        <v>2673</v>
      </c>
      <c r="E401" s="1" t="s">
        <v>2674</v>
      </c>
      <c r="F401" s="1" t="str">
        <f>"84110    "</f>
        <v xml:space="preserve">84110    </v>
      </c>
      <c r="G401" s="1" t="str">
        <f>"8003525150"</f>
        <v>8003525150</v>
      </c>
      <c r="H401" s="1" t="s">
        <v>2637</v>
      </c>
    </row>
    <row r="402" spans="1:8" x14ac:dyDescent="0.25">
      <c r="A402" s="1" t="str">
        <f>"510  "</f>
        <v xml:space="preserve">510  </v>
      </c>
      <c r="B402" s="1" t="s">
        <v>491</v>
      </c>
      <c r="C402" s="1" t="s">
        <v>492</v>
      </c>
      <c r="D402" s="1" t="s">
        <v>1479</v>
      </c>
      <c r="E402" s="1" t="s">
        <v>2885</v>
      </c>
      <c r="F402" s="1" t="str">
        <f>"73172    "</f>
        <v xml:space="preserve">73172    </v>
      </c>
      <c r="G402" s="1" t="str">
        <f>"8007492631"</f>
        <v>8007492631</v>
      </c>
      <c r="H402" s="1" t="s">
        <v>2637</v>
      </c>
    </row>
    <row r="403" spans="1:8" x14ac:dyDescent="0.25">
      <c r="A403" s="1" t="str">
        <f>"511  "</f>
        <v xml:space="preserve">511  </v>
      </c>
      <c r="B403" s="1" t="s">
        <v>1076</v>
      </c>
      <c r="C403" s="1" t="s">
        <v>1077</v>
      </c>
      <c r="D403" s="1" t="s">
        <v>1078</v>
      </c>
      <c r="E403" s="1" t="s">
        <v>2902</v>
      </c>
      <c r="F403" s="1" t="str">
        <f>"55344    "</f>
        <v xml:space="preserve">55344    </v>
      </c>
      <c r="G403" s="1" t="str">
        <f>"8003364091"</f>
        <v>8003364091</v>
      </c>
      <c r="H403" s="1" t="s">
        <v>2637</v>
      </c>
    </row>
    <row r="404" spans="1:8" x14ac:dyDescent="0.25">
      <c r="A404" s="1" t="str">
        <f>"512  "</f>
        <v xml:space="preserve">512  </v>
      </c>
      <c r="B404" s="1" t="s">
        <v>973</v>
      </c>
      <c r="C404" s="1" t="str">
        <f>"9501 NE 2ND AVE                                   "</f>
        <v xml:space="preserve">9501 NE 2ND AVE                                   </v>
      </c>
      <c r="D404" s="1" t="s">
        <v>974</v>
      </c>
      <c r="E404" s="1" t="s">
        <v>2832</v>
      </c>
      <c r="F404" s="1" t="str">
        <f>"33138    "</f>
        <v xml:space="preserve">33138    </v>
      </c>
      <c r="G404" s="1" t="s">
        <v>2637</v>
      </c>
      <c r="H404" s="1" t="s">
        <v>2688</v>
      </c>
    </row>
    <row r="405" spans="1:8" x14ac:dyDescent="0.25">
      <c r="A405" s="1" t="str">
        <f>"513  "</f>
        <v xml:space="preserve">513  </v>
      </c>
      <c r="B405" s="1" t="s">
        <v>1632</v>
      </c>
      <c r="C405" s="1" t="s">
        <v>1633</v>
      </c>
      <c r="D405" s="1" t="s">
        <v>1634</v>
      </c>
      <c r="E405" s="1" t="s">
        <v>2773</v>
      </c>
      <c r="F405" s="1" t="str">
        <f>"12110    "</f>
        <v xml:space="preserve">12110    </v>
      </c>
      <c r="G405" s="1" t="str">
        <f>"8002880882"</f>
        <v>8002880882</v>
      </c>
      <c r="H405" s="1" t="s">
        <v>2637</v>
      </c>
    </row>
    <row r="406" spans="1:8" x14ac:dyDescent="0.25">
      <c r="A406" s="1" t="str">
        <f>"514  "</f>
        <v xml:space="preserve">514  </v>
      </c>
      <c r="B406" s="1" t="s">
        <v>1677</v>
      </c>
      <c r="C406" s="1" t="s">
        <v>1678</v>
      </c>
      <c r="D406" s="1" t="s">
        <v>1634</v>
      </c>
      <c r="E406" s="1" t="s">
        <v>2773</v>
      </c>
      <c r="F406" s="1" t="str">
        <f>"12110    "</f>
        <v xml:space="preserve">12110    </v>
      </c>
      <c r="G406" s="1" t="str">
        <f>"8007933773"</f>
        <v>8007933773</v>
      </c>
      <c r="H406" s="1" t="s">
        <v>1679</v>
      </c>
    </row>
    <row r="407" spans="1:8" x14ac:dyDescent="0.25">
      <c r="A407" s="1" t="str">
        <f>"515  "</f>
        <v xml:space="preserve">515  </v>
      </c>
      <c r="B407" s="1" t="s">
        <v>512</v>
      </c>
      <c r="C407" s="1" t="s">
        <v>513</v>
      </c>
      <c r="D407" s="1" t="s">
        <v>2834</v>
      </c>
      <c r="E407" s="1" t="s">
        <v>2832</v>
      </c>
      <c r="F407" s="1" t="str">
        <f>"32232    "</f>
        <v xml:space="preserve">32232    </v>
      </c>
      <c r="G407" s="1" t="str">
        <f>"8006616385"</f>
        <v>8006616385</v>
      </c>
      <c r="H407" s="1" t="s">
        <v>514</v>
      </c>
    </row>
    <row r="408" spans="1:8" x14ac:dyDescent="0.25">
      <c r="A408" s="1" t="str">
        <f>"516  "</f>
        <v xml:space="preserve">516  </v>
      </c>
      <c r="B408" s="1" t="s">
        <v>2353</v>
      </c>
      <c r="C408" s="1" t="str">
        <f>"1111 ALDERMAN DR SUITE 420                        "</f>
        <v xml:space="preserve">1111 ALDERMAN DR SUITE 420                        </v>
      </c>
      <c r="D408" s="1" t="s">
        <v>2052</v>
      </c>
      <c r="E408" s="1" t="s">
        <v>2681</v>
      </c>
      <c r="F408" s="1" t="str">
        <f>"30202    "</f>
        <v xml:space="preserve">30202    </v>
      </c>
      <c r="G408" s="1" t="str">
        <f>"7706645594"</f>
        <v>7706645594</v>
      </c>
      <c r="H408" s="1" t="s">
        <v>2637</v>
      </c>
    </row>
    <row r="409" spans="1:8" x14ac:dyDescent="0.25">
      <c r="A409" s="1" t="str">
        <f>"517  "</f>
        <v xml:space="preserve">517  </v>
      </c>
      <c r="B409" s="1" t="s">
        <v>1332</v>
      </c>
      <c r="C409" s="1" t="s">
        <v>1333</v>
      </c>
      <c r="D409" s="1" t="s">
        <v>2977</v>
      </c>
      <c r="E409" s="1" t="s">
        <v>2858</v>
      </c>
      <c r="F409" s="1" t="str">
        <f>"98124    "</f>
        <v xml:space="preserve">98124    </v>
      </c>
      <c r="G409" s="1" t="str">
        <f>"8007626004"</f>
        <v>8007626004</v>
      </c>
      <c r="H409" s="1" t="s">
        <v>2648</v>
      </c>
    </row>
    <row r="410" spans="1:8" x14ac:dyDescent="0.25">
      <c r="A410" s="1" t="str">
        <f>"518  "</f>
        <v xml:space="preserve">518  </v>
      </c>
      <c r="B410" s="1" t="s">
        <v>3062</v>
      </c>
      <c r="C410" s="1" t="str">
        <f>"4600 POWDER MILL RD.                              "</f>
        <v xml:space="preserve">4600 POWDER MILL RD.                              </v>
      </c>
      <c r="D410" s="1" t="s">
        <v>3063</v>
      </c>
      <c r="E410" s="1" t="s">
        <v>2647</v>
      </c>
      <c r="F410" s="1" t="str">
        <f>"20705    "</f>
        <v xml:space="preserve">20705    </v>
      </c>
      <c r="G410" s="1" t="str">
        <f>"8003863632"</f>
        <v>8003863632</v>
      </c>
      <c r="H410" s="1" t="s">
        <v>2637</v>
      </c>
    </row>
    <row r="411" spans="1:8" x14ac:dyDescent="0.25">
      <c r="A411" s="1" t="str">
        <f>"519  "</f>
        <v xml:space="preserve">519  </v>
      </c>
      <c r="B411" s="1" t="s">
        <v>913</v>
      </c>
      <c r="C411" s="1" t="s">
        <v>914</v>
      </c>
      <c r="D411" s="1" t="s">
        <v>3085</v>
      </c>
      <c r="E411" s="1" t="s">
        <v>3086</v>
      </c>
      <c r="F411" s="1" t="str">
        <f>"35238    "</f>
        <v xml:space="preserve">35238    </v>
      </c>
      <c r="G411" s="1" t="str">
        <f>"8778939294"</f>
        <v>8778939294</v>
      </c>
      <c r="H411" s="1" t="s">
        <v>2637</v>
      </c>
    </row>
    <row r="412" spans="1:8" x14ac:dyDescent="0.25">
      <c r="A412" s="1" t="str">
        <f>"520  "</f>
        <v xml:space="preserve">520  </v>
      </c>
      <c r="B412" s="1" t="s">
        <v>3210</v>
      </c>
      <c r="C412" s="1" t="s">
        <v>3211</v>
      </c>
      <c r="D412" s="1" t="s">
        <v>3212</v>
      </c>
      <c r="E412" s="1" t="s">
        <v>2821</v>
      </c>
      <c r="F412" s="1" t="str">
        <f>"088180846"</f>
        <v>088180846</v>
      </c>
      <c r="G412" s="1" t="str">
        <f>"8006243096"</f>
        <v>8006243096</v>
      </c>
      <c r="H412" s="1" t="s">
        <v>2648</v>
      </c>
    </row>
    <row r="413" spans="1:8" x14ac:dyDescent="0.25">
      <c r="A413" s="1" t="str">
        <f>"521  "</f>
        <v xml:space="preserve">521  </v>
      </c>
      <c r="B413" s="1" t="s">
        <v>1217</v>
      </c>
      <c r="C413" s="1" t="s">
        <v>2582</v>
      </c>
      <c r="D413" s="1" t="s">
        <v>2726</v>
      </c>
      <c r="E413" s="1" t="s">
        <v>2647</v>
      </c>
      <c r="F413" s="1" t="str">
        <f>"21705    "</f>
        <v xml:space="preserve">21705    </v>
      </c>
      <c r="G413" s="1" t="str">
        <f>"8002350123"</f>
        <v>8002350123</v>
      </c>
      <c r="H413" s="1" t="s">
        <v>2648</v>
      </c>
    </row>
    <row r="414" spans="1:8" x14ac:dyDescent="0.25">
      <c r="A414" s="1" t="str">
        <f>"522  "</f>
        <v xml:space="preserve">522  </v>
      </c>
      <c r="B414" s="1" t="s">
        <v>1759</v>
      </c>
      <c r="C414" s="1" t="str">
        <f>"800 CORPORATE DRIVE                               "</f>
        <v xml:space="preserve">800 CORPORATE DRIVE                               </v>
      </c>
      <c r="D414" s="1" t="s">
        <v>1760</v>
      </c>
      <c r="E414" s="1" t="s">
        <v>2647</v>
      </c>
      <c r="F414" s="1" t="str">
        <f>"20785    "</f>
        <v xml:space="preserve">20785    </v>
      </c>
      <c r="G414" s="1" t="str">
        <f>"3015771700"</f>
        <v>3015771700</v>
      </c>
      <c r="H414" s="1" t="s">
        <v>2637</v>
      </c>
    </row>
    <row r="415" spans="1:8" x14ac:dyDescent="0.25">
      <c r="A415" s="1" t="str">
        <f>"523  "</f>
        <v xml:space="preserve">523  </v>
      </c>
      <c r="B415" s="1" t="s">
        <v>101</v>
      </c>
      <c r="C415" s="1" t="s">
        <v>102</v>
      </c>
      <c r="D415" s="1" t="s">
        <v>1634</v>
      </c>
      <c r="E415" s="1" t="s">
        <v>2773</v>
      </c>
      <c r="F415" s="1" t="str">
        <f>"121108006"</f>
        <v>121108006</v>
      </c>
      <c r="G415" s="1" t="str">
        <f>"8008333650"</f>
        <v>8008333650</v>
      </c>
      <c r="H415" s="1" t="s">
        <v>2637</v>
      </c>
    </row>
    <row r="416" spans="1:8" x14ac:dyDescent="0.25">
      <c r="A416" s="1" t="str">
        <f>"524  "</f>
        <v xml:space="preserve">524  </v>
      </c>
      <c r="B416" s="1" t="s">
        <v>339</v>
      </c>
      <c r="C416" s="1" t="s">
        <v>340</v>
      </c>
      <c r="D416" s="1" t="s">
        <v>341</v>
      </c>
      <c r="E416" s="1" t="s">
        <v>2636</v>
      </c>
      <c r="F416" s="1" t="str">
        <f>"75713    "</f>
        <v xml:space="preserve">75713    </v>
      </c>
      <c r="G416" s="1" t="str">
        <f>"8004778957"</f>
        <v>8004778957</v>
      </c>
      <c r="H416" s="1" t="s">
        <v>342</v>
      </c>
    </row>
    <row r="417" spans="1:8" x14ac:dyDescent="0.25">
      <c r="A417" s="1" t="str">
        <f>"525  "</f>
        <v xml:space="preserve">525  </v>
      </c>
      <c r="B417" s="1" t="s">
        <v>2014</v>
      </c>
      <c r="C417" s="1" t="s">
        <v>2015</v>
      </c>
      <c r="D417" s="1" t="s">
        <v>2016</v>
      </c>
      <c r="E417" s="1" t="s">
        <v>2786</v>
      </c>
      <c r="F417" s="1" t="str">
        <f>"61105    "</f>
        <v xml:space="preserve">61105    </v>
      </c>
      <c r="G417" s="1" t="str">
        <f>"8009470319"</f>
        <v>8009470319</v>
      </c>
      <c r="H417" s="1" t="s">
        <v>2017</v>
      </c>
    </row>
    <row r="418" spans="1:8" x14ac:dyDescent="0.25">
      <c r="A418" s="1" t="str">
        <f>"526  "</f>
        <v xml:space="preserve">526  </v>
      </c>
      <c r="B418" s="1" t="s">
        <v>2244</v>
      </c>
      <c r="C418" s="1" t="s">
        <v>2245</v>
      </c>
      <c r="D418" s="1" t="s">
        <v>2246</v>
      </c>
      <c r="E418" s="1" t="s">
        <v>2714</v>
      </c>
      <c r="F418" s="1" t="str">
        <f>"44706    "</f>
        <v xml:space="preserve">44706    </v>
      </c>
      <c r="G418" s="1" t="str">
        <f>"8003448858"</f>
        <v>8003448858</v>
      </c>
      <c r="H418" s="1" t="s">
        <v>2637</v>
      </c>
    </row>
    <row r="419" spans="1:8" x14ac:dyDescent="0.25">
      <c r="A419" s="1" t="str">
        <f>"528  "</f>
        <v xml:space="preserve">528  </v>
      </c>
      <c r="B419" s="1" t="s">
        <v>1530</v>
      </c>
      <c r="C419" s="1" t="s">
        <v>1531</v>
      </c>
      <c r="D419" s="1" t="s">
        <v>1532</v>
      </c>
      <c r="E419" s="1" t="s">
        <v>2681</v>
      </c>
      <c r="F419" s="1" t="str">
        <f>"31119    "</f>
        <v xml:space="preserve">31119    </v>
      </c>
      <c r="G419" s="1" t="str">
        <f>"8006111811"</f>
        <v>8006111811</v>
      </c>
      <c r="H419" s="1" t="s">
        <v>2795</v>
      </c>
    </row>
    <row r="420" spans="1:8" x14ac:dyDescent="0.25">
      <c r="A420" s="1" t="str">
        <f>"529  "</f>
        <v xml:space="preserve">529  </v>
      </c>
      <c r="B420" s="1" t="s">
        <v>2866</v>
      </c>
      <c r="C420" s="1" t="str">
        <f>"3575 KROGER BLVD.,SUITE 400                       "</f>
        <v xml:space="preserve">3575 KROGER BLVD.,SUITE 400                       </v>
      </c>
      <c r="D420" s="1" t="s">
        <v>2867</v>
      </c>
      <c r="E420" s="1" t="s">
        <v>2681</v>
      </c>
      <c r="F420" s="1" t="str">
        <f>"30316    "</f>
        <v xml:space="preserve">30316    </v>
      </c>
      <c r="G420" s="1" t="str">
        <f>"8008881966"</f>
        <v>8008881966</v>
      </c>
      <c r="H420" s="1" t="s">
        <v>2637</v>
      </c>
    </row>
    <row r="421" spans="1:8" x14ac:dyDescent="0.25">
      <c r="A421" s="1" t="str">
        <f>"530  "</f>
        <v xml:space="preserve">530  </v>
      </c>
      <c r="B421" s="1" t="s">
        <v>459</v>
      </c>
      <c r="C421" s="1" t="s">
        <v>1686</v>
      </c>
      <c r="D421" s="1" t="s">
        <v>2083</v>
      </c>
      <c r="E421" s="1" t="s">
        <v>2697</v>
      </c>
      <c r="F421" s="1" t="str">
        <f>"185040097"</f>
        <v>185040097</v>
      </c>
      <c r="G421" s="1" t="str">
        <f>"8007470622"</f>
        <v>8007470622</v>
      </c>
      <c r="H421" s="1" t="s">
        <v>2688</v>
      </c>
    </row>
    <row r="422" spans="1:8" x14ac:dyDescent="0.25">
      <c r="A422" s="1" t="str">
        <f>"531  "</f>
        <v xml:space="preserve">531  </v>
      </c>
      <c r="B422" s="1" t="s">
        <v>650</v>
      </c>
      <c r="C422" s="1" t="str">
        <f>"1690 SKYLYN DRIVE, SUITE,130                      "</f>
        <v xml:space="preserve">1690 SKYLYN DRIVE, SUITE,130                      </v>
      </c>
      <c r="D422" s="1" t="s">
        <v>2616</v>
      </c>
      <c r="E422" s="1" t="s">
        <v>2660</v>
      </c>
      <c r="F422" s="1" t="str">
        <f>"29307    "</f>
        <v xml:space="preserve">29307    </v>
      </c>
      <c r="G422" s="1" t="str">
        <f>"8645733535"</f>
        <v>8645733535</v>
      </c>
      <c r="H422" s="1" t="s">
        <v>2637</v>
      </c>
    </row>
    <row r="423" spans="1:8" x14ac:dyDescent="0.25">
      <c r="A423" s="1" t="str">
        <f>"532  "</f>
        <v xml:space="preserve">532  </v>
      </c>
      <c r="B423" s="1" t="s">
        <v>343</v>
      </c>
      <c r="C423" s="1" t="s">
        <v>344</v>
      </c>
      <c r="D423" s="1" t="s">
        <v>1245</v>
      </c>
      <c r="E423" s="1" t="s">
        <v>2667</v>
      </c>
      <c r="F423" s="1" t="str">
        <f>"543079032"</f>
        <v>543079032</v>
      </c>
      <c r="G423" s="1" t="str">
        <f>"8002325432"</f>
        <v>8002325432</v>
      </c>
      <c r="H423" s="1" t="s">
        <v>2637</v>
      </c>
    </row>
    <row r="424" spans="1:8" x14ac:dyDescent="0.25">
      <c r="A424" s="1" t="str">
        <f>"533  "</f>
        <v xml:space="preserve">533  </v>
      </c>
      <c r="B424" s="1" t="s">
        <v>497</v>
      </c>
      <c r="C424" s="1" t="s">
        <v>498</v>
      </c>
      <c r="D424" s="1" t="s">
        <v>2701</v>
      </c>
      <c r="E424" s="1" t="s">
        <v>2660</v>
      </c>
      <c r="F424" s="1" t="str">
        <f>"292111111"</f>
        <v>292111111</v>
      </c>
      <c r="G424" s="1" t="str">
        <f>"8883239271"</f>
        <v>8883239271</v>
      </c>
      <c r="H424" s="1" t="s">
        <v>2637</v>
      </c>
    </row>
    <row r="425" spans="1:8" x14ac:dyDescent="0.25">
      <c r="A425" s="1" t="str">
        <f>"534  "</f>
        <v xml:space="preserve">534  </v>
      </c>
      <c r="B425" s="1" t="s">
        <v>292</v>
      </c>
      <c r="C425" s="1" t="s">
        <v>293</v>
      </c>
      <c r="D425" s="1" t="s">
        <v>294</v>
      </c>
      <c r="E425" s="1" t="s">
        <v>2667</v>
      </c>
      <c r="F425" s="1" t="str">
        <f>"53187    "</f>
        <v xml:space="preserve">53187    </v>
      </c>
      <c r="G425" s="1" t="str">
        <f>"2627844600"</f>
        <v>2627844600</v>
      </c>
      <c r="H425" s="1" t="s">
        <v>2637</v>
      </c>
    </row>
    <row r="426" spans="1:8" x14ac:dyDescent="0.25">
      <c r="A426" s="1" t="str">
        <f>"535  "</f>
        <v xml:space="preserve">535  </v>
      </c>
      <c r="B426" s="1" t="s">
        <v>483</v>
      </c>
      <c r="C426" s="1" t="s">
        <v>484</v>
      </c>
      <c r="D426" s="1" t="s">
        <v>2713</v>
      </c>
      <c r="E426" s="1" t="s">
        <v>2714</v>
      </c>
      <c r="F426" s="1" t="str">
        <f>"441014648"</f>
        <v>441014648</v>
      </c>
      <c r="G426" s="1" t="str">
        <f>"8007731445"</f>
        <v>8007731445</v>
      </c>
      <c r="H426" s="1" t="s">
        <v>2637</v>
      </c>
    </row>
    <row r="427" spans="1:8" x14ac:dyDescent="0.25">
      <c r="A427" s="1" t="str">
        <f>"536  "</f>
        <v xml:space="preserve">536  </v>
      </c>
      <c r="B427" s="1" t="s">
        <v>1906</v>
      </c>
      <c r="C427" s="1" t="s">
        <v>1907</v>
      </c>
      <c r="D427" s="1" t="s">
        <v>2710</v>
      </c>
      <c r="E427" s="1" t="s">
        <v>2660</v>
      </c>
      <c r="F427" s="1" t="str">
        <f>"29606    "</f>
        <v xml:space="preserve">29606    </v>
      </c>
      <c r="G427" s="1" t="str">
        <f>"8642348200"</f>
        <v>8642348200</v>
      </c>
      <c r="H427" s="1" t="s">
        <v>2637</v>
      </c>
    </row>
    <row r="428" spans="1:8" x14ac:dyDescent="0.25">
      <c r="A428" s="1" t="str">
        <f>"537  "</f>
        <v xml:space="preserve">537  </v>
      </c>
      <c r="B428" s="1" t="s">
        <v>590</v>
      </c>
      <c r="C428" s="1" t="s">
        <v>591</v>
      </c>
      <c r="D428" s="1" t="s">
        <v>2713</v>
      </c>
      <c r="E428" s="1" t="s">
        <v>2714</v>
      </c>
      <c r="F428" s="1" t="str">
        <f>"441010316"</f>
        <v>441010316</v>
      </c>
      <c r="G428" s="1" t="str">
        <f>"8006348816"</f>
        <v>8006348816</v>
      </c>
      <c r="H428" s="1" t="s">
        <v>2688</v>
      </c>
    </row>
    <row r="429" spans="1:8" x14ac:dyDescent="0.25">
      <c r="A429" s="1" t="str">
        <f>"538  "</f>
        <v xml:space="preserve">538  </v>
      </c>
      <c r="B429" s="1" t="s">
        <v>784</v>
      </c>
      <c r="C429" s="1" t="s">
        <v>785</v>
      </c>
      <c r="D429" s="1" t="s">
        <v>2717</v>
      </c>
      <c r="E429" s="1" t="s">
        <v>2681</v>
      </c>
      <c r="F429" s="1" t="str">
        <f>"303581535"</f>
        <v>303581535</v>
      </c>
      <c r="G429" s="1" t="str">
        <f>"8004441535"</f>
        <v>8004441535</v>
      </c>
      <c r="H429" s="1" t="s">
        <v>2688</v>
      </c>
    </row>
    <row r="430" spans="1:8" x14ac:dyDescent="0.25">
      <c r="A430" s="1" t="str">
        <f>"539  "</f>
        <v xml:space="preserve">539  </v>
      </c>
      <c r="B430" s="1" t="s">
        <v>2711</v>
      </c>
      <c r="C430" s="1" t="s">
        <v>2712</v>
      </c>
      <c r="D430" s="1" t="s">
        <v>2713</v>
      </c>
      <c r="E430" s="1" t="s">
        <v>2714</v>
      </c>
      <c r="F430" s="1" t="str">
        <f>"44101    "</f>
        <v xml:space="preserve">44101    </v>
      </c>
      <c r="G430" s="1" t="str">
        <f>"8003621279"</f>
        <v>8003621279</v>
      </c>
      <c r="H430" s="1" t="s">
        <v>2648</v>
      </c>
    </row>
    <row r="431" spans="1:8" x14ac:dyDescent="0.25">
      <c r="A431" s="1" t="str">
        <f>"540  "</f>
        <v xml:space="preserve">540  </v>
      </c>
      <c r="B431" s="1" t="s">
        <v>1998</v>
      </c>
      <c r="C431" s="1" t="s">
        <v>1999</v>
      </c>
      <c r="D431" s="1" t="s">
        <v>3085</v>
      </c>
      <c r="E431" s="1" t="s">
        <v>3086</v>
      </c>
      <c r="F431" s="1" t="str">
        <f>"35202    "</f>
        <v xml:space="preserve">35202    </v>
      </c>
      <c r="G431" s="1" t="str">
        <f>"2053252722"</f>
        <v>2053252722</v>
      </c>
      <c r="H431" s="1" t="s">
        <v>2637</v>
      </c>
    </row>
    <row r="432" spans="1:8" x14ac:dyDescent="0.25">
      <c r="A432" s="1" t="str">
        <f>"541  "</f>
        <v xml:space="preserve">541  </v>
      </c>
      <c r="B432" s="1" t="s">
        <v>2796</v>
      </c>
      <c r="C432" s="1" t="s">
        <v>2797</v>
      </c>
      <c r="D432" s="1" t="s">
        <v>2798</v>
      </c>
      <c r="E432" s="1" t="s">
        <v>2660</v>
      </c>
      <c r="F432" s="1" t="str">
        <f>"293054217"</f>
        <v>293054217</v>
      </c>
      <c r="G432" s="1" t="str">
        <f>"8645962227"</f>
        <v>8645962227</v>
      </c>
      <c r="H432" s="1" t="s">
        <v>2688</v>
      </c>
    </row>
    <row r="433" spans="1:8" x14ac:dyDescent="0.25">
      <c r="A433" s="1" t="str">
        <f>"542  "</f>
        <v xml:space="preserve">542  </v>
      </c>
      <c r="B433" s="1" t="s">
        <v>1169</v>
      </c>
      <c r="C433" s="1" t="str">
        <f>"1733 PARK ST.                                     "</f>
        <v xml:space="preserve">1733 PARK ST.                                     </v>
      </c>
      <c r="D433" s="1" t="s">
        <v>1170</v>
      </c>
      <c r="E433" s="1" t="s">
        <v>2786</v>
      </c>
      <c r="F433" s="1" t="str">
        <f>"60563    "</f>
        <v xml:space="preserve">60563    </v>
      </c>
      <c r="G433" s="1" t="str">
        <f>"8006315917"</f>
        <v>8006315917</v>
      </c>
      <c r="H433" s="1" t="s">
        <v>2637</v>
      </c>
    </row>
    <row r="434" spans="1:8" x14ac:dyDescent="0.25">
      <c r="A434" s="1" t="str">
        <f>"543  "</f>
        <v xml:space="preserve">543  </v>
      </c>
      <c r="B434" s="1" t="s">
        <v>759</v>
      </c>
      <c r="C434" s="1" t="s">
        <v>760</v>
      </c>
      <c r="D434" s="1" t="s">
        <v>761</v>
      </c>
      <c r="E434" s="1" t="s">
        <v>2636</v>
      </c>
      <c r="F434" s="1" t="str">
        <f>"75034    "</f>
        <v xml:space="preserve">75034    </v>
      </c>
      <c r="G434" s="1" t="str">
        <f>"8002900523"</f>
        <v>8002900523</v>
      </c>
      <c r="H434" s="1" t="s">
        <v>2688</v>
      </c>
    </row>
    <row r="435" spans="1:8" x14ac:dyDescent="0.25">
      <c r="A435" s="1" t="str">
        <f>"545  "</f>
        <v xml:space="preserve">545  </v>
      </c>
      <c r="B435" s="1" t="s">
        <v>3273</v>
      </c>
      <c r="C435" s="1" t="s">
        <v>3274</v>
      </c>
      <c r="D435" s="1" t="s">
        <v>3275</v>
      </c>
      <c r="E435" s="1" t="s">
        <v>2663</v>
      </c>
      <c r="F435" s="1" t="str">
        <f>"90801    "</f>
        <v xml:space="preserve">90801    </v>
      </c>
      <c r="G435" s="1" t="str">
        <f>"8006424148"</f>
        <v>8006424148</v>
      </c>
      <c r="H435" s="1" t="s">
        <v>3218</v>
      </c>
    </row>
    <row r="436" spans="1:8" x14ac:dyDescent="0.25">
      <c r="A436" s="1" t="str">
        <f>"546  "</f>
        <v xml:space="preserve">546  </v>
      </c>
      <c r="B436" s="1" t="s">
        <v>725</v>
      </c>
      <c r="C436" s="1" t="s">
        <v>726</v>
      </c>
      <c r="D436" s="1" t="s">
        <v>727</v>
      </c>
      <c r="E436" s="1" t="s">
        <v>2773</v>
      </c>
      <c r="F436" s="1" t="str">
        <f>"13217    "</f>
        <v xml:space="preserve">13217    </v>
      </c>
      <c r="G436" s="1" t="str">
        <f>"3154489228"</f>
        <v>3154489228</v>
      </c>
      <c r="H436" s="1" t="s">
        <v>2637</v>
      </c>
    </row>
    <row r="437" spans="1:8" x14ac:dyDescent="0.25">
      <c r="A437" s="1" t="str">
        <f>"547  "</f>
        <v xml:space="preserve">547  </v>
      </c>
      <c r="B437" s="1" t="s">
        <v>238</v>
      </c>
      <c r="C437" s="1" t="s">
        <v>239</v>
      </c>
      <c r="D437" s="1" t="s">
        <v>2673</v>
      </c>
      <c r="E437" s="1" t="s">
        <v>2674</v>
      </c>
      <c r="F437" s="1" t="str">
        <f>"841300544"</f>
        <v>841300544</v>
      </c>
      <c r="G437" s="1" t="str">
        <f>"8777370769"</f>
        <v>8777370769</v>
      </c>
      <c r="H437" s="1" t="s">
        <v>2637</v>
      </c>
    </row>
    <row r="438" spans="1:8" x14ac:dyDescent="0.25">
      <c r="A438" s="1" t="str">
        <f>"548  "</f>
        <v xml:space="preserve">548  </v>
      </c>
      <c r="B438" s="1" t="s">
        <v>2152</v>
      </c>
      <c r="C438" s="1" t="s">
        <v>2153</v>
      </c>
      <c r="D438" s="1" t="s">
        <v>2154</v>
      </c>
      <c r="E438" s="1" t="s">
        <v>2786</v>
      </c>
      <c r="F438" s="1" t="str">
        <f>"606804106"</f>
        <v>606804106</v>
      </c>
      <c r="G438" s="1" t="str">
        <f>"8005940977"</f>
        <v>8005940977</v>
      </c>
      <c r="H438" s="1" t="s">
        <v>2648</v>
      </c>
    </row>
    <row r="439" spans="1:8" x14ac:dyDescent="0.25">
      <c r="A439" s="1" t="str">
        <f>"549  "</f>
        <v xml:space="preserve">549  </v>
      </c>
      <c r="B439" s="1" t="s">
        <v>1824</v>
      </c>
      <c r="C439" s="1" t="str">
        <f>"922 W WALNUT STE A                                "</f>
        <v xml:space="preserve">922 W WALNUT STE A                                </v>
      </c>
      <c r="D439" s="1" t="s">
        <v>1825</v>
      </c>
      <c r="E439" s="1" t="s">
        <v>2944</v>
      </c>
      <c r="F439" s="1" t="str">
        <f>"72756 320"</f>
        <v>72756 320</v>
      </c>
      <c r="G439" s="1" t="str">
        <f>"5016212929"</f>
        <v>5016212929</v>
      </c>
      <c r="H439" s="1" t="s">
        <v>1826</v>
      </c>
    </row>
    <row r="440" spans="1:8" x14ac:dyDescent="0.25">
      <c r="A440" s="1" t="str">
        <f>"550  "</f>
        <v xml:space="preserve">550  </v>
      </c>
      <c r="B440" s="1" t="s">
        <v>661</v>
      </c>
      <c r="C440" s="1" t="str">
        <f>"7125 THOMAS EDISON DR SUITE 105                   "</f>
        <v xml:space="preserve">7125 THOMAS EDISON DR SUITE 105                   </v>
      </c>
      <c r="D440" s="1" t="s">
        <v>2701</v>
      </c>
      <c r="E440" s="1" t="s">
        <v>2647</v>
      </c>
      <c r="F440" s="1" t="str">
        <f>"21046    "</f>
        <v xml:space="preserve">21046    </v>
      </c>
      <c r="G440" s="1" t="str">
        <f>"8006381134"</f>
        <v>8006381134</v>
      </c>
      <c r="H440" s="1" t="s">
        <v>2760</v>
      </c>
    </row>
    <row r="441" spans="1:8" x14ac:dyDescent="0.25">
      <c r="A441" s="1" t="str">
        <f>"551  "</f>
        <v xml:space="preserve">551  </v>
      </c>
      <c r="B441" s="1" t="s">
        <v>844</v>
      </c>
      <c r="C441" s="1" t="s">
        <v>845</v>
      </c>
      <c r="D441" s="1" t="s">
        <v>2705</v>
      </c>
      <c r="E441" s="1" t="s">
        <v>2706</v>
      </c>
      <c r="F441" s="1" t="str">
        <f>"46250    "</f>
        <v xml:space="preserve">46250    </v>
      </c>
      <c r="G441" s="1" t="str">
        <f>"8668734516"</f>
        <v>8668734516</v>
      </c>
      <c r="H441" s="1" t="s">
        <v>2735</v>
      </c>
    </row>
    <row r="442" spans="1:8" x14ac:dyDescent="0.25">
      <c r="A442" s="1" t="str">
        <f>"552  "</f>
        <v xml:space="preserve">552  </v>
      </c>
      <c r="B442" s="1" t="s">
        <v>2102</v>
      </c>
      <c r="C442" s="1" t="s">
        <v>168</v>
      </c>
      <c r="D442" s="1" t="s">
        <v>3263</v>
      </c>
      <c r="E442" s="1" t="s">
        <v>3264</v>
      </c>
      <c r="F442" s="1" t="str">
        <f>"52733    "</f>
        <v xml:space="preserve">52733    </v>
      </c>
      <c r="G442" s="1" t="str">
        <f>"8003275462"</f>
        <v>8003275462</v>
      </c>
      <c r="H442" s="1" t="s">
        <v>2637</v>
      </c>
    </row>
    <row r="443" spans="1:8" x14ac:dyDescent="0.25">
      <c r="A443" s="1" t="str">
        <f>"553  "</f>
        <v xml:space="preserve">553  </v>
      </c>
      <c r="B443" s="1" t="s">
        <v>1326</v>
      </c>
      <c r="C443" s="1" t="s">
        <v>1086</v>
      </c>
      <c r="D443" s="1" t="s">
        <v>2943</v>
      </c>
      <c r="E443" s="1" t="s">
        <v>2944</v>
      </c>
      <c r="F443" s="1" t="str">
        <f>"72203    "</f>
        <v xml:space="preserve">72203    </v>
      </c>
      <c r="G443" s="1" t="str">
        <f>"8883736102"</f>
        <v>8883736102</v>
      </c>
      <c r="H443" s="1" t="s">
        <v>2637</v>
      </c>
    </row>
    <row r="444" spans="1:8" x14ac:dyDescent="0.25">
      <c r="A444" s="1" t="str">
        <f>"554  "</f>
        <v xml:space="preserve">554  </v>
      </c>
      <c r="B444" s="1" t="s">
        <v>613</v>
      </c>
      <c r="C444" s="1" t="s">
        <v>614</v>
      </c>
      <c r="D444" s="1" t="s">
        <v>2710</v>
      </c>
      <c r="E444" s="1" t="s">
        <v>2970</v>
      </c>
      <c r="F444" s="1" t="str">
        <f>"37744    "</f>
        <v xml:space="preserve">37744    </v>
      </c>
      <c r="G444" s="1" t="str">
        <f>"4236396145"</f>
        <v>4236396145</v>
      </c>
      <c r="H444" s="1" t="s">
        <v>2637</v>
      </c>
    </row>
    <row r="445" spans="1:8" x14ac:dyDescent="0.25">
      <c r="A445" s="1" t="str">
        <f>"555  "</f>
        <v xml:space="preserve">555  </v>
      </c>
      <c r="B445" s="1" t="s">
        <v>588</v>
      </c>
      <c r="C445" s="1" t="s">
        <v>589</v>
      </c>
      <c r="D445" s="1" t="s">
        <v>2635</v>
      </c>
      <c r="E445" s="1" t="s">
        <v>2636</v>
      </c>
      <c r="F445" s="1" t="str">
        <f>"772104882"</f>
        <v>772104882</v>
      </c>
      <c r="G445" s="1" t="str">
        <f>"8005527879"</f>
        <v>8005527879</v>
      </c>
      <c r="H445" s="1" t="s">
        <v>2688</v>
      </c>
    </row>
    <row r="446" spans="1:8" x14ac:dyDescent="0.25">
      <c r="A446" s="1" t="str">
        <f>"556  "</f>
        <v xml:space="preserve">556  </v>
      </c>
      <c r="B446" s="1" t="s">
        <v>3250</v>
      </c>
      <c r="C446" s="1" t="s">
        <v>3251</v>
      </c>
      <c r="D446" s="1" t="s">
        <v>2947</v>
      </c>
      <c r="E446" s="1" t="s">
        <v>2706</v>
      </c>
      <c r="F446" s="1" t="str">
        <f>"46064    "</f>
        <v xml:space="preserve">46064    </v>
      </c>
      <c r="G446" s="1" t="str">
        <f>"7657781535"</f>
        <v>7657781535</v>
      </c>
      <c r="H446" s="1" t="s">
        <v>2637</v>
      </c>
    </row>
    <row r="447" spans="1:8" x14ac:dyDescent="0.25">
      <c r="A447" s="1" t="str">
        <f>"557  "</f>
        <v xml:space="preserve">557  </v>
      </c>
      <c r="B447" s="1" t="s">
        <v>2092</v>
      </c>
      <c r="C447" s="1" t="s">
        <v>2093</v>
      </c>
      <c r="D447" s="1" t="s">
        <v>2094</v>
      </c>
      <c r="E447" s="1" t="s">
        <v>2706</v>
      </c>
      <c r="F447" s="1" t="str">
        <f>"46082    "</f>
        <v xml:space="preserve">46082    </v>
      </c>
      <c r="G447" s="1" t="str">
        <f>"8666994186"</f>
        <v>8666994186</v>
      </c>
      <c r="H447" s="1" t="s">
        <v>2637</v>
      </c>
    </row>
    <row r="448" spans="1:8" x14ac:dyDescent="0.25">
      <c r="A448" s="1" t="str">
        <f>"558  "</f>
        <v xml:space="preserve">558  </v>
      </c>
      <c r="B448" s="1" t="s">
        <v>1604</v>
      </c>
      <c r="C448" s="1" t="s">
        <v>1605</v>
      </c>
      <c r="D448" s="1" t="s">
        <v>2442</v>
      </c>
      <c r="E448" s="1" t="s">
        <v>3264</v>
      </c>
      <c r="F448" s="1" t="str">
        <f>"50306    "</f>
        <v xml:space="preserve">50306    </v>
      </c>
      <c r="G448" s="1" t="str">
        <f>"8002325818"</f>
        <v>8002325818</v>
      </c>
      <c r="H448" s="1" t="s">
        <v>1606</v>
      </c>
    </row>
    <row r="449" spans="1:8" x14ac:dyDescent="0.25">
      <c r="A449" s="1" t="str">
        <f>"559  "</f>
        <v xml:space="preserve">559  </v>
      </c>
      <c r="B449" s="1" t="s">
        <v>3292</v>
      </c>
      <c r="C449" s="1" t="s">
        <v>3293</v>
      </c>
      <c r="D449" s="1" t="s">
        <v>3294</v>
      </c>
      <c r="E449" s="1" t="s">
        <v>2660</v>
      </c>
      <c r="F449" s="1" t="str">
        <f>"295010659"</f>
        <v>295010659</v>
      </c>
      <c r="G449" s="1" t="str">
        <f>"8436613875"</f>
        <v>8436613875</v>
      </c>
      <c r="H449" s="1" t="s">
        <v>2637</v>
      </c>
    </row>
    <row r="450" spans="1:8" x14ac:dyDescent="0.25">
      <c r="A450" s="1" t="str">
        <f>"560  "</f>
        <v xml:space="preserve">560  </v>
      </c>
      <c r="B450" s="1" t="s">
        <v>504</v>
      </c>
      <c r="C450" s="1" t="s">
        <v>505</v>
      </c>
      <c r="D450" s="1" t="s">
        <v>506</v>
      </c>
      <c r="E450" s="1" t="s">
        <v>2681</v>
      </c>
      <c r="F450" s="1" t="str">
        <f>"310300978"</f>
        <v>310300978</v>
      </c>
      <c r="G450" s="1" t="str">
        <f>"8008255406"</f>
        <v>8008255406</v>
      </c>
      <c r="H450" s="1" t="s">
        <v>2637</v>
      </c>
    </row>
    <row r="451" spans="1:8" x14ac:dyDescent="0.25">
      <c r="A451" s="1" t="str">
        <f>"561  "</f>
        <v xml:space="preserve">561  </v>
      </c>
      <c r="B451" s="1" t="s">
        <v>1120</v>
      </c>
      <c r="C451" s="1" t="s">
        <v>1121</v>
      </c>
      <c r="D451" s="1" t="s">
        <v>1122</v>
      </c>
      <c r="E451" s="1" t="s">
        <v>2952</v>
      </c>
      <c r="F451" s="1" t="str">
        <f>"06115    "</f>
        <v xml:space="preserve">06115    </v>
      </c>
      <c r="G451" s="1" t="str">
        <f>"8004512513"</f>
        <v>8004512513</v>
      </c>
      <c r="H451" s="1" t="s">
        <v>1123</v>
      </c>
    </row>
    <row r="452" spans="1:8" x14ac:dyDescent="0.25">
      <c r="A452" s="1" t="str">
        <f>"562  "</f>
        <v xml:space="preserve">562  </v>
      </c>
      <c r="B452" s="1" t="s">
        <v>945</v>
      </c>
      <c r="C452" s="1" t="s">
        <v>946</v>
      </c>
      <c r="D452" s="1" t="s">
        <v>947</v>
      </c>
      <c r="E452" s="1" t="s">
        <v>2832</v>
      </c>
      <c r="F452" s="1" t="str">
        <f>"33442    "</f>
        <v xml:space="preserve">33442    </v>
      </c>
      <c r="G452" s="1" t="str">
        <f>"8002223560"</f>
        <v>8002223560</v>
      </c>
      <c r="H452" s="1" t="s">
        <v>2637</v>
      </c>
    </row>
    <row r="453" spans="1:8" x14ac:dyDescent="0.25">
      <c r="A453" s="1" t="str">
        <f>"563  "</f>
        <v xml:space="preserve">563  </v>
      </c>
      <c r="B453" s="1" t="s">
        <v>1578</v>
      </c>
      <c r="C453" s="1" t="str">
        <f>"3301 E ROYALTON ROAD  BLDG D                      "</f>
        <v xml:space="preserve">3301 E ROYALTON ROAD  BLDG D                      </v>
      </c>
      <c r="D453" s="1" t="s">
        <v>1579</v>
      </c>
      <c r="E453" s="1" t="s">
        <v>2714</v>
      </c>
      <c r="F453" s="1" t="str">
        <f>"44147    "</f>
        <v xml:space="preserve">44147    </v>
      </c>
      <c r="G453" s="1" t="s">
        <v>2637</v>
      </c>
      <c r="H453" s="1" t="s">
        <v>2637</v>
      </c>
    </row>
    <row r="454" spans="1:8" x14ac:dyDescent="0.25">
      <c r="A454" s="1" t="str">
        <f>"564  "</f>
        <v xml:space="preserve">564  </v>
      </c>
      <c r="B454" s="1" t="s">
        <v>1555</v>
      </c>
      <c r="C454" s="1" t="s">
        <v>1556</v>
      </c>
      <c r="D454" s="1" t="s">
        <v>2705</v>
      </c>
      <c r="E454" s="1" t="s">
        <v>2706</v>
      </c>
      <c r="F454" s="1" t="str">
        <f>"46206    "</f>
        <v xml:space="preserve">46206    </v>
      </c>
      <c r="G454" s="1" t="str">
        <f>"8006052282"</f>
        <v>8006052282</v>
      </c>
      <c r="H454" s="1" t="s">
        <v>2688</v>
      </c>
    </row>
    <row r="455" spans="1:8" x14ac:dyDescent="0.25">
      <c r="A455" s="1" t="str">
        <f>"565  "</f>
        <v xml:space="preserve">565  </v>
      </c>
      <c r="B455" s="1" t="s">
        <v>2211</v>
      </c>
      <c r="C455" s="1" t="s">
        <v>2212</v>
      </c>
      <c r="D455" s="1" t="s">
        <v>2213</v>
      </c>
      <c r="E455" s="1" t="s">
        <v>2832</v>
      </c>
      <c r="F455" s="1" t="str">
        <f>"321152480"</f>
        <v>321152480</v>
      </c>
      <c r="G455" s="1" t="str">
        <f>"8004344890"</f>
        <v>8004344890</v>
      </c>
      <c r="H455" s="1" t="s">
        <v>2214</v>
      </c>
    </row>
    <row r="456" spans="1:8" x14ac:dyDescent="0.25">
      <c r="A456" s="1" t="str">
        <f>"566  "</f>
        <v xml:space="preserve">566  </v>
      </c>
      <c r="B456" s="1" t="s">
        <v>3250</v>
      </c>
      <c r="C456" s="1" t="s">
        <v>3251</v>
      </c>
      <c r="D456" s="1" t="s">
        <v>2947</v>
      </c>
      <c r="E456" s="1" t="s">
        <v>2706</v>
      </c>
      <c r="F456" s="1" t="str">
        <f>"46064    "</f>
        <v xml:space="preserve">46064    </v>
      </c>
      <c r="G456" s="1" t="str">
        <f>"7657781535"</f>
        <v>7657781535</v>
      </c>
      <c r="H456" s="1" t="s">
        <v>2648</v>
      </c>
    </row>
    <row r="457" spans="1:8" x14ac:dyDescent="0.25">
      <c r="A457" s="1" t="str">
        <f>"567  "</f>
        <v xml:space="preserve">567  </v>
      </c>
      <c r="B457" s="1" t="s">
        <v>1355</v>
      </c>
      <c r="C457" s="1" t="str">
        <f>"200 FREEWAY DR. E.                                "</f>
        <v xml:space="preserve">200 FREEWAY DR. E.                                </v>
      </c>
      <c r="D457" s="1" t="s">
        <v>1356</v>
      </c>
      <c r="E457" s="1" t="s">
        <v>2821</v>
      </c>
      <c r="F457" s="1" t="str">
        <f>"07018    "</f>
        <v xml:space="preserve">07018    </v>
      </c>
      <c r="G457" s="1" t="str">
        <f>"8005240227"</f>
        <v>8005240227</v>
      </c>
      <c r="H457" s="1" t="s">
        <v>2637</v>
      </c>
    </row>
    <row r="458" spans="1:8" x14ac:dyDescent="0.25">
      <c r="A458" s="1" t="str">
        <f>"568  "</f>
        <v xml:space="preserve">568  </v>
      </c>
      <c r="B458" s="1" t="s">
        <v>2932</v>
      </c>
      <c r="C458" s="1" t="s">
        <v>2933</v>
      </c>
      <c r="D458" s="1" t="s">
        <v>2901</v>
      </c>
      <c r="E458" s="1" t="s">
        <v>2902</v>
      </c>
      <c r="F458" s="1" t="str">
        <f>"554401339"</f>
        <v>554401339</v>
      </c>
      <c r="G458" s="1" t="str">
        <f>"8884465710"</f>
        <v>8884465710</v>
      </c>
      <c r="H458" s="1" t="s">
        <v>2934</v>
      </c>
    </row>
    <row r="459" spans="1:8" x14ac:dyDescent="0.25">
      <c r="A459" s="1" t="str">
        <f>"569  "</f>
        <v xml:space="preserve">569  </v>
      </c>
      <c r="B459" s="1" t="s">
        <v>968</v>
      </c>
      <c r="C459" s="1" t="s">
        <v>969</v>
      </c>
      <c r="D459" s="1" t="s">
        <v>2808</v>
      </c>
      <c r="E459" s="1" t="s">
        <v>2809</v>
      </c>
      <c r="F459" s="1" t="str">
        <f>"85082    "</f>
        <v xml:space="preserve">85082    </v>
      </c>
      <c r="G459" s="1" t="str">
        <f>"8009538854"</f>
        <v>8009538854</v>
      </c>
      <c r="H459" s="1" t="s">
        <v>2735</v>
      </c>
    </row>
    <row r="460" spans="1:8" x14ac:dyDescent="0.25">
      <c r="A460" s="1" t="str">
        <f>"570  "</f>
        <v xml:space="preserve">570  </v>
      </c>
      <c r="B460" s="1" t="s">
        <v>1239</v>
      </c>
      <c r="C460" s="1" t="str">
        <f>"11301 OLD GEORGETOWN RD                           "</f>
        <v xml:space="preserve">11301 OLD GEORGETOWN RD                           </v>
      </c>
      <c r="D460" s="1" t="s">
        <v>2755</v>
      </c>
      <c r="E460" s="1" t="s">
        <v>2647</v>
      </c>
      <c r="F460" s="1" t="str">
        <f>"20852    "</f>
        <v xml:space="preserve">20852    </v>
      </c>
      <c r="G460" s="1" t="str">
        <f>"8006386589"</f>
        <v>8006386589</v>
      </c>
      <c r="H460" s="1" t="s">
        <v>2637</v>
      </c>
    </row>
    <row r="461" spans="1:8" x14ac:dyDescent="0.25">
      <c r="A461" s="1" t="str">
        <f>"571  "</f>
        <v xml:space="preserve">571  </v>
      </c>
      <c r="B461" s="1" t="s">
        <v>2318</v>
      </c>
      <c r="C461" s="1" t="s">
        <v>3006</v>
      </c>
      <c r="D461" s="1" t="s">
        <v>2943</v>
      </c>
      <c r="E461" s="1" t="s">
        <v>2944</v>
      </c>
      <c r="F461" s="1" t="str">
        <f>"722218215"</f>
        <v>722218215</v>
      </c>
      <c r="G461" s="1" t="str">
        <f>"8886049397"</f>
        <v>8886049397</v>
      </c>
      <c r="H461" s="1" t="s">
        <v>2735</v>
      </c>
    </row>
    <row r="462" spans="1:8" x14ac:dyDescent="0.25">
      <c r="A462" s="1" t="str">
        <f>"572  "</f>
        <v xml:space="preserve">572  </v>
      </c>
      <c r="B462" s="1" t="s">
        <v>2911</v>
      </c>
      <c r="C462" s="1" t="str">
        <f>"8300 E MAPLEWOOD AVE                              "</f>
        <v xml:space="preserve">8300 E MAPLEWOOD AVE                              </v>
      </c>
      <c r="D462" s="1" t="s">
        <v>2912</v>
      </c>
      <c r="E462" s="1" t="s">
        <v>2826</v>
      </c>
      <c r="F462" s="1" t="str">
        <f>"80111    "</f>
        <v xml:space="preserve">80111    </v>
      </c>
      <c r="G462" s="1" t="str">
        <f>"8778398119"</f>
        <v>8778398119</v>
      </c>
      <c r="H462" s="1" t="s">
        <v>2913</v>
      </c>
    </row>
    <row r="463" spans="1:8" x14ac:dyDescent="0.25">
      <c r="A463" s="1" t="str">
        <f>"573  "</f>
        <v xml:space="preserve">573  </v>
      </c>
      <c r="B463" s="1" t="s">
        <v>2480</v>
      </c>
      <c r="C463" s="1" t="s">
        <v>2481</v>
      </c>
      <c r="D463" s="1" t="s">
        <v>2397</v>
      </c>
      <c r="E463" s="1" t="s">
        <v>2670</v>
      </c>
      <c r="F463" s="1" t="str">
        <f>"65814    "</f>
        <v xml:space="preserve">65814    </v>
      </c>
      <c r="G463" s="1" t="str">
        <f>"8778757700"</f>
        <v>8778757700</v>
      </c>
      <c r="H463" s="1" t="s">
        <v>2637</v>
      </c>
    </row>
    <row r="464" spans="1:8" x14ac:dyDescent="0.25">
      <c r="A464" s="1" t="str">
        <f>"574  "</f>
        <v xml:space="preserve">574  </v>
      </c>
      <c r="B464" s="1" t="s">
        <v>1622</v>
      </c>
      <c r="C464" s="1" t="s">
        <v>1623</v>
      </c>
      <c r="D464" s="1" t="s">
        <v>1624</v>
      </c>
      <c r="E464" s="1" t="s">
        <v>2636</v>
      </c>
      <c r="F464" s="1" t="str">
        <f>"79105    "</f>
        <v xml:space="preserve">79105    </v>
      </c>
      <c r="G464" s="1" t="str">
        <f>"8063784235"</f>
        <v>8063784235</v>
      </c>
      <c r="H464" s="1" t="s">
        <v>2735</v>
      </c>
    </row>
    <row r="465" spans="1:8" x14ac:dyDescent="0.25">
      <c r="A465" s="1" t="str">
        <f>"575  "</f>
        <v xml:space="preserve">575  </v>
      </c>
      <c r="B465" s="1" t="s">
        <v>1240</v>
      </c>
      <c r="C465" s="1" t="s">
        <v>1241</v>
      </c>
      <c r="D465" s="1" t="s">
        <v>2227</v>
      </c>
      <c r="E465" s="1" t="s">
        <v>2667</v>
      </c>
      <c r="F465" s="1" t="str">
        <f>"53008    "</f>
        <v xml:space="preserve">53008    </v>
      </c>
      <c r="G465" s="1" t="str">
        <f>"6082769111"</f>
        <v>6082769111</v>
      </c>
      <c r="H465" s="1" t="s">
        <v>2735</v>
      </c>
    </row>
    <row r="466" spans="1:8" x14ac:dyDescent="0.25">
      <c r="A466" s="1" t="str">
        <f>"576  "</f>
        <v xml:space="preserve">576  </v>
      </c>
      <c r="B466" s="1" t="s">
        <v>309</v>
      </c>
      <c r="C466" s="1" t="s">
        <v>310</v>
      </c>
      <c r="D466" s="1" t="s">
        <v>3033</v>
      </c>
      <c r="E466" s="1" t="s">
        <v>3034</v>
      </c>
      <c r="F466" s="1" t="str">
        <f>"57109    "</f>
        <v xml:space="preserve">57109    </v>
      </c>
      <c r="G466" s="1" t="str">
        <f>"8007525863"</f>
        <v>8007525863</v>
      </c>
      <c r="H466" s="1" t="s">
        <v>2637</v>
      </c>
    </row>
    <row r="467" spans="1:8" x14ac:dyDescent="0.25">
      <c r="A467" s="1" t="str">
        <f>"577  "</f>
        <v xml:space="preserve">577  </v>
      </c>
      <c r="B467" s="1" t="s">
        <v>3287</v>
      </c>
      <c r="C467" s="1" t="s">
        <v>3288</v>
      </c>
      <c r="D467" s="1" t="s">
        <v>3289</v>
      </c>
      <c r="E467" s="1" t="s">
        <v>2697</v>
      </c>
      <c r="F467" s="1" t="str">
        <f>"17110    "</f>
        <v xml:space="preserve">17110    </v>
      </c>
      <c r="G467" s="1" t="str">
        <f>"8772195460"</f>
        <v>8772195460</v>
      </c>
      <c r="H467" s="1" t="s">
        <v>2688</v>
      </c>
    </row>
    <row r="468" spans="1:8" x14ac:dyDescent="0.25">
      <c r="A468" s="1" t="str">
        <f>"578  "</f>
        <v xml:space="preserve">578  </v>
      </c>
      <c r="B468" s="1" t="s">
        <v>2520</v>
      </c>
      <c r="C468" s="1" t="str">
        <f>"3751 MAGUIRE BLVD. STE. 100                       "</f>
        <v xml:space="preserve">3751 MAGUIRE BLVD. STE. 100                       </v>
      </c>
      <c r="D468" s="1" t="s">
        <v>3257</v>
      </c>
      <c r="E468" s="1" t="s">
        <v>2832</v>
      </c>
      <c r="F468" s="1" t="str">
        <f>"32814    "</f>
        <v xml:space="preserve">32814    </v>
      </c>
      <c r="G468" s="1" t="str">
        <f>"8007410521"</f>
        <v>8007410521</v>
      </c>
      <c r="H468" s="1" t="s">
        <v>2637</v>
      </c>
    </row>
    <row r="469" spans="1:8" x14ac:dyDescent="0.25">
      <c r="A469" s="1" t="str">
        <f>"579  "</f>
        <v xml:space="preserve">579  </v>
      </c>
      <c r="B469" s="1" t="s">
        <v>1001</v>
      </c>
      <c r="C469" s="1" t="s">
        <v>1002</v>
      </c>
      <c r="D469" s="1" t="s">
        <v>3070</v>
      </c>
      <c r="E469" s="1" t="s">
        <v>2714</v>
      </c>
      <c r="F469" s="1" t="str">
        <f>"45250    "</f>
        <v xml:space="preserve">45250    </v>
      </c>
      <c r="G469" s="1" t="str">
        <f>"8006620210"</f>
        <v>8006620210</v>
      </c>
      <c r="H469" s="1" t="s">
        <v>1003</v>
      </c>
    </row>
    <row r="470" spans="1:8" x14ac:dyDescent="0.25">
      <c r="A470" s="1" t="str">
        <f>"580  "</f>
        <v xml:space="preserve">580  </v>
      </c>
      <c r="B470" s="1" t="s">
        <v>57</v>
      </c>
      <c r="C470" s="1" t="s">
        <v>58</v>
      </c>
      <c r="D470" s="1" t="s">
        <v>2891</v>
      </c>
      <c r="E470" s="1" t="s">
        <v>2862</v>
      </c>
      <c r="F470" s="1" t="str">
        <f>"681030160"</f>
        <v>681030160</v>
      </c>
      <c r="G470" s="1" t="str">
        <f>"4024968000"</f>
        <v>4024968000</v>
      </c>
      <c r="H470" s="1" t="s">
        <v>2637</v>
      </c>
    </row>
    <row r="471" spans="1:8" x14ac:dyDescent="0.25">
      <c r="A471" s="1" t="str">
        <f>"581  "</f>
        <v xml:space="preserve">581  </v>
      </c>
      <c r="B471" s="1" t="s">
        <v>2671</v>
      </c>
      <c r="C471" s="1" t="s">
        <v>2672</v>
      </c>
      <c r="D471" s="1" t="s">
        <v>2673</v>
      </c>
      <c r="E471" s="1" t="s">
        <v>2674</v>
      </c>
      <c r="F471" s="1" t="str">
        <f>"84130    "</f>
        <v xml:space="preserve">84130    </v>
      </c>
      <c r="G471" s="1" t="str">
        <f>"8009985033"</f>
        <v>8009985033</v>
      </c>
      <c r="H471" s="1" t="s">
        <v>2637</v>
      </c>
    </row>
    <row r="472" spans="1:8" x14ac:dyDescent="0.25">
      <c r="A472" s="1" t="str">
        <f>"582  "</f>
        <v xml:space="preserve">582  </v>
      </c>
      <c r="B472" s="1" t="s">
        <v>601</v>
      </c>
      <c r="C472" s="1" t="s">
        <v>602</v>
      </c>
      <c r="D472" s="1" t="s">
        <v>1732</v>
      </c>
      <c r="E472" s="1" t="s">
        <v>2663</v>
      </c>
      <c r="F472" s="1" t="str">
        <f>"958521506"</f>
        <v>958521506</v>
      </c>
      <c r="G472" s="1" t="str">
        <f>"8005318222"</f>
        <v>8005318222</v>
      </c>
      <c r="H472" s="1" t="s">
        <v>2637</v>
      </c>
    </row>
    <row r="473" spans="1:8" x14ac:dyDescent="0.25">
      <c r="A473" s="1" t="str">
        <f>"583  "</f>
        <v xml:space="preserve">583  </v>
      </c>
      <c r="B473" s="1" t="s">
        <v>12</v>
      </c>
      <c r="C473" s="1" t="s">
        <v>13</v>
      </c>
      <c r="D473" s="1" t="s">
        <v>2923</v>
      </c>
      <c r="E473" s="1" t="s">
        <v>2714</v>
      </c>
      <c r="F473" s="1" t="str">
        <f>"43216    "</f>
        <v xml:space="preserve">43216    </v>
      </c>
      <c r="G473" s="1" t="str">
        <f>"8008246796"</f>
        <v>8008246796</v>
      </c>
      <c r="H473" s="1" t="s">
        <v>14</v>
      </c>
    </row>
    <row r="474" spans="1:8" x14ac:dyDescent="0.25">
      <c r="A474" s="1" t="str">
        <f>"584  "</f>
        <v xml:space="preserve">584  </v>
      </c>
      <c r="B474" s="1" t="s">
        <v>460</v>
      </c>
      <c r="C474" s="1" t="s">
        <v>461</v>
      </c>
      <c r="D474" s="1" t="s">
        <v>2673</v>
      </c>
      <c r="E474" s="1" t="s">
        <v>2674</v>
      </c>
      <c r="F474" s="1" t="str">
        <f>"841310374"</f>
        <v>841310374</v>
      </c>
      <c r="G474" s="1" t="str">
        <f>"6189438000"</f>
        <v>6189438000</v>
      </c>
      <c r="H474" s="1" t="s">
        <v>2637</v>
      </c>
    </row>
    <row r="475" spans="1:8" x14ac:dyDescent="0.25">
      <c r="A475" s="1" t="str">
        <f>"585  "</f>
        <v xml:space="preserve">585  </v>
      </c>
      <c r="B475" s="1" t="s">
        <v>15</v>
      </c>
      <c r="C475" s="1" t="str">
        <f>"1024 MCKINLEY ST                                  "</f>
        <v xml:space="preserve">1024 MCKINLEY ST                                  </v>
      </c>
      <c r="D475" s="1" t="s">
        <v>16</v>
      </c>
      <c r="E475" s="1" t="s">
        <v>2773</v>
      </c>
      <c r="F475" s="1" t="str">
        <f>"10566    "</f>
        <v xml:space="preserve">10566    </v>
      </c>
      <c r="G475" s="1" t="str">
        <f>"9147377220"</f>
        <v>9147377220</v>
      </c>
      <c r="H475" s="1" t="s">
        <v>2637</v>
      </c>
    </row>
    <row r="476" spans="1:8" x14ac:dyDescent="0.25">
      <c r="A476" s="1" t="str">
        <f>"586  "</f>
        <v xml:space="preserve">586  </v>
      </c>
      <c r="B476" s="1" t="s">
        <v>598</v>
      </c>
      <c r="C476" s="1" t="s">
        <v>599</v>
      </c>
      <c r="D476" s="1" t="s">
        <v>3230</v>
      </c>
      <c r="E476" s="1" t="s">
        <v>2697</v>
      </c>
      <c r="F476" s="1" t="str">
        <f>"15220    "</f>
        <v xml:space="preserve">15220    </v>
      </c>
      <c r="G476" s="1" t="str">
        <f>"4129220780"</f>
        <v>4129220780</v>
      </c>
      <c r="H476" s="1" t="s">
        <v>600</v>
      </c>
    </row>
    <row r="477" spans="1:8" x14ac:dyDescent="0.25">
      <c r="A477" s="1" t="str">
        <f>"587  "</f>
        <v xml:space="preserve">587  </v>
      </c>
      <c r="B477" s="1" t="s">
        <v>2683</v>
      </c>
      <c r="C477" s="1" t="s">
        <v>2684</v>
      </c>
      <c r="D477" s="1" t="s">
        <v>2685</v>
      </c>
      <c r="E477" s="1" t="s">
        <v>2670</v>
      </c>
      <c r="F477" s="1" t="str">
        <f>"64141    "</f>
        <v xml:space="preserve">64141    </v>
      </c>
      <c r="G477" s="1" t="str">
        <f>"8886787012"</f>
        <v>8886787012</v>
      </c>
      <c r="H477" s="1" t="s">
        <v>2637</v>
      </c>
    </row>
    <row r="478" spans="1:8" x14ac:dyDescent="0.25">
      <c r="A478" s="1" t="str">
        <f>"588  "</f>
        <v xml:space="preserve">588  </v>
      </c>
      <c r="B478" s="1" t="s">
        <v>59</v>
      </c>
      <c r="C478" s="1" t="s">
        <v>60</v>
      </c>
      <c r="D478" s="1" t="s">
        <v>2657</v>
      </c>
      <c r="E478" s="1" t="s">
        <v>2644</v>
      </c>
      <c r="F478" s="1" t="str">
        <f>"482321223"</f>
        <v>482321223</v>
      </c>
      <c r="G478" s="1" t="str">
        <f>"8002751896"</f>
        <v>8002751896</v>
      </c>
      <c r="H478" s="1" t="s">
        <v>2760</v>
      </c>
    </row>
    <row r="479" spans="1:8" x14ac:dyDescent="0.25">
      <c r="A479" s="1" t="str">
        <f>"589  "</f>
        <v xml:space="preserve">589  </v>
      </c>
      <c r="B479" s="1" t="s">
        <v>3130</v>
      </c>
      <c r="C479" s="1" t="str">
        <f>"2000 W MARSHALL DR                                "</f>
        <v xml:space="preserve">2000 W MARSHALL DR                                </v>
      </c>
      <c r="D479" s="1" t="s">
        <v>3131</v>
      </c>
      <c r="E479" s="1" t="s">
        <v>2636</v>
      </c>
      <c r="F479" s="1" t="str">
        <f>"75051    "</f>
        <v xml:space="preserve">75051    </v>
      </c>
      <c r="G479" s="1" t="str">
        <f>"8007855301"</f>
        <v>8007855301</v>
      </c>
      <c r="H479" s="1" t="s">
        <v>2735</v>
      </c>
    </row>
    <row r="480" spans="1:8" x14ac:dyDescent="0.25">
      <c r="A480" s="1" t="str">
        <f>"590  "</f>
        <v xml:space="preserve">590  </v>
      </c>
      <c r="B480" s="1" t="s">
        <v>321</v>
      </c>
      <c r="C480" s="1" t="s">
        <v>322</v>
      </c>
      <c r="D480" s="1" t="s">
        <v>3238</v>
      </c>
      <c r="E480" s="1" t="s">
        <v>2952</v>
      </c>
      <c r="F480" s="1" t="str">
        <f>"06601    "</f>
        <v xml:space="preserve">06601    </v>
      </c>
      <c r="G480" s="1" t="str">
        <f>"8008484747"</f>
        <v>8008484747</v>
      </c>
      <c r="H480" s="1" t="s">
        <v>2637</v>
      </c>
    </row>
    <row r="481" spans="1:8" x14ac:dyDescent="0.25">
      <c r="A481" s="1" t="str">
        <f>"591  "</f>
        <v xml:space="preserve">591  </v>
      </c>
      <c r="B481" s="1" t="s">
        <v>1030</v>
      </c>
      <c r="C481" s="1" t="s">
        <v>1031</v>
      </c>
      <c r="D481" s="1" t="s">
        <v>2685</v>
      </c>
      <c r="E481" s="1" t="s">
        <v>2670</v>
      </c>
      <c r="F481" s="1" t="str">
        <f>"64141    "</f>
        <v xml:space="preserve">64141    </v>
      </c>
      <c r="G481" s="1" t="str">
        <f>"8167534900"</f>
        <v>8167534900</v>
      </c>
      <c r="H481" s="1" t="s">
        <v>2637</v>
      </c>
    </row>
    <row r="482" spans="1:8" x14ac:dyDescent="0.25">
      <c r="A482" s="1" t="str">
        <f>"592  "</f>
        <v xml:space="preserve">592  </v>
      </c>
      <c r="B482" s="1" t="s">
        <v>1473</v>
      </c>
      <c r="C482" s="1" t="str">
        <f>"525 LOCUS GROVE RD                                "</f>
        <v xml:space="preserve">525 LOCUS GROVE RD                                </v>
      </c>
      <c r="D482" s="1" t="s">
        <v>2616</v>
      </c>
      <c r="E482" s="1" t="s">
        <v>2660</v>
      </c>
      <c r="F482" s="1" t="str">
        <f>"29303    "</f>
        <v xml:space="preserve">29303    </v>
      </c>
      <c r="G482" s="1" t="str">
        <f>"8645038333"</f>
        <v>8645038333</v>
      </c>
      <c r="H482" s="1" t="s">
        <v>2688</v>
      </c>
    </row>
    <row r="483" spans="1:8" x14ac:dyDescent="0.25">
      <c r="A483" s="1" t="str">
        <f>"593  "</f>
        <v xml:space="preserve">593  </v>
      </c>
      <c r="B483" s="1" t="s">
        <v>2164</v>
      </c>
      <c r="C483" s="1" t="s">
        <v>2165</v>
      </c>
      <c r="D483" s="1" t="s">
        <v>2884</v>
      </c>
      <c r="E483" s="1" t="s">
        <v>2885</v>
      </c>
      <c r="F483" s="1" t="str">
        <f>"73123    "</f>
        <v xml:space="preserve">73123    </v>
      </c>
      <c r="G483" s="1" t="str">
        <f>"8006489652"</f>
        <v>8006489652</v>
      </c>
      <c r="H483" s="1" t="s">
        <v>2637</v>
      </c>
    </row>
    <row r="484" spans="1:8" x14ac:dyDescent="0.25">
      <c r="A484" s="1" t="str">
        <f>"594  "</f>
        <v xml:space="preserve">594  </v>
      </c>
      <c r="B484" s="1" t="s">
        <v>649</v>
      </c>
      <c r="C484" s="1" t="str">
        <f>"206 EIGHTH STREET                                 "</f>
        <v xml:space="preserve">206 EIGHTH STREET                                 </v>
      </c>
      <c r="D484" s="1" t="s">
        <v>2442</v>
      </c>
      <c r="E484" s="1" t="s">
        <v>3264</v>
      </c>
      <c r="F484" s="1" t="str">
        <f>"50309    "</f>
        <v xml:space="preserve">50309    </v>
      </c>
      <c r="G484" s="1" t="str">
        <f>"5152432131"</f>
        <v>5152432131</v>
      </c>
      <c r="H484" s="1" t="s">
        <v>2688</v>
      </c>
    </row>
    <row r="485" spans="1:8" x14ac:dyDescent="0.25">
      <c r="A485" s="1" t="str">
        <f>"595  "</f>
        <v xml:space="preserve">595  </v>
      </c>
      <c r="B485" s="1" t="s">
        <v>278</v>
      </c>
      <c r="C485" s="1" t="str">
        <f>"1932 WYNNTON ROAD                                 "</f>
        <v xml:space="preserve">1932 WYNNTON ROAD                                 </v>
      </c>
      <c r="D485" s="1" t="s">
        <v>2923</v>
      </c>
      <c r="E485" s="1" t="s">
        <v>2681</v>
      </c>
      <c r="F485" s="1" t="str">
        <f>"31999    "</f>
        <v xml:space="preserve">31999    </v>
      </c>
      <c r="G485" s="1" t="str">
        <f>"8009923522"</f>
        <v>8009923522</v>
      </c>
      <c r="H485" s="1" t="s">
        <v>2637</v>
      </c>
    </row>
    <row r="486" spans="1:8" x14ac:dyDescent="0.25">
      <c r="A486" s="1" t="str">
        <f>"596  "</f>
        <v xml:space="preserve">596  </v>
      </c>
      <c r="B486" s="1" t="s">
        <v>2308</v>
      </c>
      <c r="C486" s="1" t="s">
        <v>2309</v>
      </c>
      <c r="D486" s="1" t="s">
        <v>2985</v>
      </c>
      <c r="E486" s="1" t="s">
        <v>2636</v>
      </c>
      <c r="F486" s="1" t="str">
        <f>"782659787"</f>
        <v>782659787</v>
      </c>
      <c r="G486" s="1" t="str">
        <f>"8665798811"</f>
        <v>8665798811</v>
      </c>
      <c r="H486" s="1" t="s">
        <v>2795</v>
      </c>
    </row>
    <row r="487" spans="1:8" x14ac:dyDescent="0.25">
      <c r="A487" s="1" t="str">
        <f>"597  "</f>
        <v xml:space="preserve">597  </v>
      </c>
      <c r="B487" s="1" t="s">
        <v>1751</v>
      </c>
      <c r="C487" s="1" t="s">
        <v>1752</v>
      </c>
      <c r="D487" s="1" t="s">
        <v>2397</v>
      </c>
      <c r="E487" s="1" t="s">
        <v>3118</v>
      </c>
      <c r="F487" s="1" t="str">
        <f>"01101    "</f>
        <v xml:space="preserve">01101    </v>
      </c>
      <c r="G487" s="1" t="str">
        <f>"8006289000"</f>
        <v>8006289000</v>
      </c>
      <c r="H487" s="1" t="s">
        <v>2637</v>
      </c>
    </row>
    <row r="488" spans="1:8" x14ac:dyDescent="0.25">
      <c r="A488" s="1" t="str">
        <f>"598  "</f>
        <v xml:space="preserve">598  </v>
      </c>
      <c r="B488" s="1" t="s">
        <v>603</v>
      </c>
      <c r="C488" s="1" t="str">
        <f>"6439 GARNERS FERRY RD                             "</f>
        <v xml:space="preserve">6439 GARNERS FERRY RD                             </v>
      </c>
      <c r="D488" s="1" t="s">
        <v>2701</v>
      </c>
      <c r="E488" s="1" t="s">
        <v>2660</v>
      </c>
      <c r="F488" s="1" t="str">
        <f>"292091639"</f>
        <v>292091639</v>
      </c>
      <c r="G488" s="1" t="str">
        <f>"8037764000"</f>
        <v>8037764000</v>
      </c>
      <c r="H488" s="1" t="s">
        <v>2648</v>
      </c>
    </row>
    <row r="489" spans="1:8" x14ac:dyDescent="0.25">
      <c r="A489" s="1" t="str">
        <f>"599  "</f>
        <v xml:space="preserve">599  </v>
      </c>
      <c r="B489" s="1" t="s">
        <v>2000</v>
      </c>
      <c r="C489" s="1" t="s">
        <v>2001</v>
      </c>
      <c r="D489" s="1" t="s">
        <v>2002</v>
      </c>
      <c r="E489" s="1" t="s">
        <v>2697</v>
      </c>
      <c r="F489" s="1" t="str">
        <f>"190730477"</f>
        <v>190730477</v>
      </c>
      <c r="G489" s="1" t="str">
        <f>"8005234702"</f>
        <v>8005234702</v>
      </c>
      <c r="H489" s="1" t="s">
        <v>2637</v>
      </c>
    </row>
    <row r="490" spans="1:8" x14ac:dyDescent="0.25">
      <c r="A490" s="1" t="str">
        <f>"603  "</f>
        <v xml:space="preserve">603  </v>
      </c>
      <c r="B490" s="1" t="s">
        <v>2965</v>
      </c>
      <c r="C490" s="1" t="s">
        <v>2637</v>
      </c>
      <c r="D490" s="1" t="s">
        <v>2637</v>
      </c>
      <c r="E490" s="1" t="s">
        <v>2660</v>
      </c>
      <c r="F490" s="1" t="s">
        <v>2637</v>
      </c>
      <c r="G490" s="1" t="s">
        <v>2637</v>
      </c>
      <c r="H490" s="1" t="s">
        <v>2637</v>
      </c>
    </row>
    <row r="491" spans="1:8" x14ac:dyDescent="0.25">
      <c r="A491" s="1" t="str">
        <f>"604  "</f>
        <v xml:space="preserve">604  </v>
      </c>
      <c r="B491" s="1" t="s">
        <v>6</v>
      </c>
      <c r="C491" s="1" t="s">
        <v>7</v>
      </c>
      <c r="D491" s="1" t="s">
        <v>2825</v>
      </c>
      <c r="E491" s="1" t="s">
        <v>2826</v>
      </c>
      <c r="F491" s="1" t="str">
        <f>"80246    "</f>
        <v xml:space="preserve">80246    </v>
      </c>
      <c r="G491" s="1" t="str">
        <f>"3033317599"</f>
        <v>3033317599</v>
      </c>
      <c r="H491" s="1" t="s">
        <v>2637</v>
      </c>
    </row>
    <row r="492" spans="1:8" x14ac:dyDescent="0.25">
      <c r="A492" s="1" t="str">
        <f>"606  "</f>
        <v xml:space="preserve">606  </v>
      </c>
      <c r="B492" s="1" t="s">
        <v>1316</v>
      </c>
      <c r="C492" s="1" t="s">
        <v>2637</v>
      </c>
      <c r="D492" s="1" t="s">
        <v>2637</v>
      </c>
      <c r="E492" s="1" t="s">
        <v>2637</v>
      </c>
      <c r="F492" s="1" t="s">
        <v>2637</v>
      </c>
      <c r="G492" s="1" t="s">
        <v>2637</v>
      </c>
      <c r="H492" s="1" t="s">
        <v>2637</v>
      </c>
    </row>
    <row r="493" spans="1:8" x14ac:dyDescent="0.25">
      <c r="A493" s="1" t="str">
        <f>"607  "</f>
        <v xml:space="preserve">607  </v>
      </c>
      <c r="B493" s="1" t="s">
        <v>1955</v>
      </c>
      <c r="C493" s="1" t="s">
        <v>1956</v>
      </c>
      <c r="D493" s="1" t="s">
        <v>2939</v>
      </c>
      <c r="E493" s="1" t="s">
        <v>2667</v>
      </c>
      <c r="F493" s="1" t="str">
        <f>"537077889"</f>
        <v>537077889</v>
      </c>
      <c r="G493" s="1" t="str">
        <f>"8667730404"</f>
        <v>8667730404</v>
      </c>
      <c r="H493" s="1" t="s">
        <v>2637</v>
      </c>
    </row>
    <row r="494" spans="1:8" x14ac:dyDescent="0.25">
      <c r="A494" s="1" t="str">
        <f>"608  "</f>
        <v xml:space="preserve">608  </v>
      </c>
      <c r="B494" s="1" t="s">
        <v>1893</v>
      </c>
      <c r="C494" s="1" t="s">
        <v>2637</v>
      </c>
      <c r="D494" s="1" t="s">
        <v>2637</v>
      </c>
      <c r="E494" s="1" t="s">
        <v>2637</v>
      </c>
      <c r="F494" s="1" t="s">
        <v>2637</v>
      </c>
      <c r="G494" s="1" t="s">
        <v>2637</v>
      </c>
      <c r="H494" s="1" t="s">
        <v>2637</v>
      </c>
    </row>
    <row r="495" spans="1:8" x14ac:dyDescent="0.25">
      <c r="A495" s="1" t="str">
        <f>"609  "</f>
        <v xml:space="preserve">609  </v>
      </c>
      <c r="B495" s="1" t="s">
        <v>2769</v>
      </c>
      <c r="C495" s="1" t="s">
        <v>2637</v>
      </c>
      <c r="D495" s="1" t="s">
        <v>2637</v>
      </c>
      <c r="E495" s="1" t="s">
        <v>2637</v>
      </c>
      <c r="F495" s="1" t="s">
        <v>2637</v>
      </c>
      <c r="G495" s="1" t="s">
        <v>2637</v>
      </c>
      <c r="H495" s="1" t="s">
        <v>2637</v>
      </c>
    </row>
    <row r="496" spans="1:8" x14ac:dyDescent="0.25">
      <c r="A496" s="1" t="str">
        <f>"610  "</f>
        <v xml:space="preserve">610  </v>
      </c>
      <c r="B496" s="1" t="s">
        <v>1922</v>
      </c>
      <c r="C496" s="1" t="s">
        <v>2637</v>
      </c>
      <c r="D496" s="1" t="s">
        <v>2637</v>
      </c>
      <c r="E496" s="1" t="s">
        <v>2637</v>
      </c>
      <c r="F496" s="1" t="s">
        <v>2637</v>
      </c>
      <c r="G496" s="1" t="s">
        <v>2637</v>
      </c>
      <c r="H496" s="1" t="s">
        <v>2637</v>
      </c>
    </row>
    <row r="497" spans="1:8" x14ac:dyDescent="0.25">
      <c r="A497" s="1" t="str">
        <f>"611  "</f>
        <v xml:space="preserve">611  </v>
      </c>
      <c r="B497" s="1" t="s">
        <v>1315</v>
      </c>
      <c r="C497" s="1" t="s">
        <v>2637</v>
      </c>
      <c r="D497" s="1" t="s">
        <v>2637</v>
      </c>
      <c r="E497" s="1" t="s">
        <v>2637</v>
      </c>
      <c r="F497" s="1" t="s">
        <v>2637</v>
      </c>
      <c r="G497" s="1" t="s">
        <v>2637</v>
      </c>
      <c r="H497" s="1" t="s">
        <v>2637</v>
      </c>
    </row>
    <row r="498" spans="1:8" x14ac:dyDescent="0.25">
      <c r="A498" s="1" t="str">
        <f>"612  "</f>
        <v xml:space="preserve">612  </v>
      </c>
      <c r="B498" s="1" t="s">
        <v>132</v>
      </c>
      <c r="C498" s="1" t="s">
        <v>2637</v>
      </c>
      <c r="D498" s="1" t="s">
        <v>2637</v>
      </c>
      <c r="E498" s="1" t="s">
        <v>2637</v>
      </c>
      <c r="F498" s="1" t="s">
        <v>2637</v>
      </c>
      <c r="G498" s="1" t="s">
        <v>2637</v>
      </c>
      <c r="H498" s="1" t="s">
        <v>2637</v>
      </c>
    </row>
    <row r="499" spans="1:8" x14ac:dyDescent="0.25">
      <c r="A499" s="1" t="str">
        <f>"613  "</f>
        <v xml:space="preserve">613  </v>
      </c>
      <c r="B499" s="1" t="s">
        <v>705</v>
      </c>
      <c r="C499" s="1" t="s">
        <v>2637</v>
      </c>
      <c r="D499" s="1" t="s">
        <v>2637</v>
      </c>
      <c r="E499" s="1" t="s">
        <v>2637</v>
      </c>
      <c r="F499" s="1" t="s">
        <v>2637</v>
      </c>
      <c r="G499" s="1" t="s">
        <v>2637</v>
      </c>
      <c r="H499" s="1" t="s">
        <v>2637</v>
      </c>
    </row>
    <row r="500" spans="1:8" x14ac:dyDescent="0.25">
      <c r="A500" s="1" t="str">
        <f>"614  "</f>
        <v xml:space="preserve">614  </v>
      </c>
      <c r="B500" s="1" t="s">
        <v>1284</v>
      </c>
      <c r="C500" s="1" t="s">
        <v>1285</v>
      </c>
      <c r="D500" s="1" t="s">
        <v>2528</v>
      </c>
      <c r="E500" s="1" t="s">
        <v>2660</v>
      </c>
      <c r="F500" s="1" t="str">
        <f>"290207031"</f>
        <v>290207031</v>
      </c>
      <c r="G500" s="1" t="str">
        <f>"8004033950"</f>
        <v>8004033950</v>
      </c>
      <c r="H500" s="1" t="s">
        <v>1286</v>
      </c>
    </row>
    <row r="501" spans="1:8" x14ac:dyDescent="0.25">
      <c r="A501" s="1" t="str">
        <f>"615  "</f>
        <v xml:space="preserve">615  </v>
      </c>
      <c r="B501" s="1" t="s">
        <v>2426</v>
      </c>
      <c r="C501" s="1" t="s">
        <v>2637</v>
      </c>
      <c r="D501" s="1" t="s">
        <v>2637</v>
      </c>
      <c r="E501" s="1" t="s">
        <v>2637</v>
      </c>
      <c r="F501" s="1" t="s">
        <v>2637</v>
      </c>
      <c r="G501" s="1" t="s">
        <v>2637</v>
      </c>
      <c r="H501" s="1" t="s">
        <v>2637</v>
      </c>
    </row>
    <row r="502" spans="1:8" x14ac:dyDescent="0.25">
      <c r="A502" s="1" t="str">
        <f>"616  "</f>
        <v xml:space="preserve">616  </v>
      </c>
      <c r="B502" s="1" t="s">
        <v>2827</v>
      </c>
      <c r="C502" s="1" t="s">
        <v>2637</v>
      </c>
      <c r="D502" s="1" t="s">
        <v>2637</v>
      </c>
      <c r="E502" s="1" t="s">
        <v>2637</v>
      </c>
      <c r="F502" s="1" t="s">
        <v>2637</v>
      </c>
      <c r="G502" s="1" t="s">
        <v>2637</v>
      </c>
      <c r="H502" s="1" t="s">
        <v>2637</v>
      </c>
    </row>
    <row r="503" spans="1:8" x14ac:dyDescent="0.25">
      <c r="A503" s="1" t="str">
        <f>"617  "</f>
        <v xml:space="preserve">617  </v>
      </c>
      <c r="B503" s="1" t="s">
        <v>971</v>
      </c>
      <c r="C503" s="1" t="s">
        <v>972</v>
      </c>
      <c r="D503" s="1" t="s">
        <v>3203</v>
      </c>
      <c r="E503" s="1" t="s">
        <v>2681</v>
      </c>
      <c r="F503" s="1" t="str">
        <f>"30999    "</f>
        <v xml:space="preserve">30999    </v>
      </c>
      <c r="G503" s="1" t="str">
        <f>"8772887600"</f>
        <v>8772887600</v>
      </c>
      <c r="H503" s="1" t="s">
        <v>2637</v>
      </c>
    </row>
    <row r="504" spans="1:8" x14ac:dyDescent="0.25">
      <c r="A504" s="1" t="str">
        <f>"618  "</f>
        <v xml:space="preserve">618  </v>
      </c>
      <c r="B504" s="1" t="s">
        <v>1670</v>
      </c>
      <c r="C504" s="1" t="s">
        <v>2637</v>
      </c>
      <c r="D504" s="1" t="s">
        <v>2637</v>
      </c>
      <c r="E504" s="1" t="s">
        <v>2637</v>
      </c>
      <c r="F504" s="1" t="s">
        <v>2637</v>
      </c>
      <c r="G504" s="1" t="s">
        <v>2637</v>
      </c>
      <c r="H504" s="1" t="s">
        <v>2637</v>
      </c>
    </row>
    <row r="505" spans="1:8" x14ac:dyDescent="0.25">
      <c r="A505" s="1" t="str">
        <f>"619  "</f>
        <v xml:space="preserve">619  </v>
      </c>
      <c r="B505" s="1" t="s">
        <v>1314</v>
      </c>
      <c r="C505" s="1" t="s">
        <v>2637</v>
      </c>
      <c r="D505" s="1" t="s">
        <v>2637</v>
      </c>
      <c r="E505" s="1" t="s">
        <v>2637</v>
      </c>
      <c r="F505" s="1" t="s">
        <v>2637</v>
      </c>
      <c r="G505" s="1" t="s">
        <v>2637</v>
      </c>
      <c r="H505" s="1" t="s">
        <v>2637</v>
      </c>
    </row>
    <row r="506" spans="1:8" x14ac:dyDescent="0.25">
      <c r="A506" s="1" t="str">
        <f>"620  "</f>
        <v xml:space="preserve">620  </v>
      </c>
      <c r="B506" s="1" t="s">
        <v>783</v>
      </c>
      <c r="C506" s="1" t="s">
        <v>2637</v>
      </c>
      <c r="D506" s="1" t="s">
        <v>2637</v>
      </c>
      <c r="E506" s="1" t="s">
        <v>2637</v>
      </c>
      <c r="F506" s="1" t="s">
        <v>2637</v>
      </c>
      <c r="G506" s="1" t="s">
        <v>2637</v>
      </c>
      <c r="H506" s="1" t="s">
        <v>2637</v>
      </c>
    </row>
    <row r="507" spans="1:8" x14ac:dyDescent="0.25">
      <c r="A507" s="1" t="str">
        <f>"621  "</f>
        <v xml:space="preserve">621  </v>
      </c>
      <c r="B507" s="1" t="s">
        <v>830</v>
      </c>
      <c r="C507" s="1" t="s">
        <v>2637</v>
      </c>
      <c r="D507" s="1" t="s">
        <v>2637</v>
      </c>
      <c r="E507" s="1" t="s">
        <v>2637</v>
      </c>
      <c r="F507" s="1" t="s">
        <v>2637</v>
      </c>
      <c r="G507" s="1" t="s">
        <v>2637</v>
      </c>
      <c r="H507" s="1" t="s">
        <v>2637</v>
      </c>
    </row>
    <row r="508" spans="1:8" x14ac:dyDescent="0.25">
      <c r="A508" s="1" t="str">
        <f>"622  "</f>
        <v xml:space="preserve">622  </v>
      </c>
      <c r="B508" s="1" t="s">
        <v>2948</v>
      </c>
      <c r="C508" s="1" t="s">
        <v>2637</v>
      </c>
      <c r="D508" s="1" t="s">
        <v>2637</v>
      </c>
      <c r="E508" s="1" t="s">
        <v>2637</v>
      </c>
      <c r="F508" s="1" t="s">
        <v>2637</v>
      </c>
      <c r="G508" s="1" t="s">
        <v>2637</v>
      </c>
      <c r="H508" s="1" t="s">
        <v>2637</v>
      </c>
    </row>
    <row r="509" spans="1:8" x14ac:dyDescent="0.25">
      <c r="A509" s="1" t="str">
        <f>"623  "</f>
        <v xml:space="preserve">623  </v>
      </c>
      <c r="B509" s="1" t="s">
        <v>1682</v>
      </c>
      <c r="C509" s="1" t="str">
        <f>"201 EXECUTIVE CENTER DRIVE                        "</f>
        <v xml:space="preserve">201 EXECUTIVE CENTER DRIVE                        </v>
      </c>
      <c r="D509" s="1" t="s">
        <v>2701</v>
      </c>
      <c r="E509" s="1" t="s">
        <v>2660</v>
      </c>
      <c r="F509" s="1" t="str">
        <f>"29210    "</f>
        <v xml:space="preserve">29210    </v>
      </c>
      <c r="G509" s="1" t="str">
        <f>"8037507473"</f>
        <v>8037507473</v>
      </c>
      <c r="H509" s="1" t="s">
        <v>1683</v>
      </c>
    </row>
    <row r="510" spans="1:8" x14ac:dyDescent="0.25">
      <c r="A510" s="1" t="str">
        <f>"624  "</f>
        <v xml:space="preserve">624  </v>
      </c>
      <c r="B510" s="1" t="s">
        <v>703</v>
      </c>
      <c r="C510" s="1" t="s">
        <v>2637</v>
      </c>
      <c r="D510" s="1" t="s">
        <v>2637</v>
      </c>
      <c r="E510" s="1" t="s">
        <v>2637</v>
      </c>
      <c r="F510" s="1" t="s">
        <v>2637</v>
      </c>
      <c r="G510" s="1" t="s">
        <v>2637</v>
      </c>
      <c r="H510" s="1" t="s">
        <v>2637</v>
      </c>
    </row>
    <row r="511" spans="1:8" x14ac:dyDescent="0.25">
      <c r="A511" s="1" t="str">
        <f>"625  "</f>
        <v xml:space="preserve">625  </v>
      </c>
      <c r="B511" s="1" t="s">
        <v>2622</v>
      </c>
      <c r="C511" s="1" t="s">
        <v>2637</v>
      </c>
      <c r="D511" s="1" t="s">
        <v>2637</v>
      </c>
      <c r="E511" s="1" t="s">
        <v>2637</v>
      </c>
      <c r="F511" s="1" t="s">
        <v>2637</v>
      </c>
      <c r="G511" s="1" t="s">
        <v>2637</v>
      </c>
      <c r="H511" s="1" t="s">
        <v>2637</v>
      </c>
    </row>
    <row r="512" spans="1:8" x14ac:dyDescent="0.25">
      <c r="A512" s="1" t="str">
        <f>"626  "</f>
        <v xml:space="preserve">626  </v>
      </c>
      <c r="B512" s="1" t="s">
        <v>493</v>
      </c>
      <c r="C512" s="1" t="s">
        <v>2637</v>
      </c>
      <c r="D512" s="1" t="s">
        <v>2637</v>
      </c>
      <c r="E512" s="1" t="s">
        <v>2637</v>
      </c>
      <c r="F512" s="1" t="s">
        <v>2637</v>
      </c>
      <c r="G512" s="1" t="s">
        <v>2637</v>
      </c>
      <c r="H512" s="1" t="s">
        <v>2637</v>
      </c>
    </row>
    <row r="513" spans="1:8" x14ac:dyDescent="0.25">
      <c r="A513" s="1" t="str">
        <f>"627  "</f>
        <v xml:space="preserve">627  </v>
      </c>
      <c r="B513" s="1" t="s">
        <v>50</v>
      </c>
      <c r="C513" s="1" t="str">
        <f t="shared" ref="C513:C519" si="0">"-                                                 "</f>
        <v xml:space="preserve">-                                                 </v>
      </c>
      <c r="D513" s="1" t="str">
        <f t="shared" ref="D513:D519" si="1">"-                                      "</f>
        <v xml:space="preserve">-                                      </v>
      </c>
      <c r="E513" s="1" t="str">
        <f t="shared" ref="E513:E519" si="2">"- "</f>
        <v xml:space="preserve">- </v>
      </c>
      <c r="F513" s="1" t="str">
        <f t="shared" ref="F513:F518" si="3">"-----    "</f>
        <v xml:space="preserve">-----    </v>
      </c>
      <c r="G513" s="1" t="s">
        <v>2637</v>
      </c>
      <c r="H513" s="1" t="s">
        <v>2637</v>
      </c>
    </row>
    <row r="514" spans="1:8" x14ac:dyDescent="0.25">
      <c r="A514" s="1" t="str">
        <f>"628  "</f>
        <v xml:space="preserve">628  </v>
      </c>
      <c r="B514" s="1" t="s">
        <v>425</v>
      </c>
      <c r="C514" s="1" t="str">
        <f t="shared" si="0"/>
        <v xml:space="preserve">-                                                 </v>
      </c>
      <c r="D514" s="1" t="str">
        <f t="shared" si="1"/>
        <v xml:space="preserve">-                                      </v>
      </c>
      <c r="E514" s="1" t="str">
        <f t="shared" si="2"/>
        <v xml:space="preserve">- </v>
      </c>
      <c r="F514" s="1" t="str">
        <f t="shared" si="3"/>
        <v xml:space="preserve">-----    </v>
      </c>
      <c r="G514" s="1" t="s">
        <v>2637</v>
      </c>
      <c r="H514" s="1" t="s">
        <v>2637</v>
      </c>
    </row>
    <row r="515" spans="1:8" x14ac:dyDescent="0.25">
      <c r="A515" s="1" t="str">
        <f>"629  "</f>
        <v xml:space="preserve">629  </v>
      </c>
      <c r="B515" s="1" t="s">
        <v>18</v>
      </c>
      <c r="C515" s="1" t="str">
        <f t="shared" si="0"/>
        <v xml:space="preserve">-                                                 </v>
      </c>
      <c r="D515" s="1" t="str">
        <f t="shared" si="1"/>
        <v xml:space="preserve">-                                      </v>
      </c>
      <c r="E515" s="1" t="str">
        <f t="shared" si="2"/>
        <v xml:space="preserve">- </v>
      </c>
      <c r="F515" s="1" t="str">
        <f t="shared" si="3"/>
        <v xml:space="preserve">-----    </v>
      </c>
      <c r="G515" s="1" t="s">
        <v>2637</v>
      </c>
      <c r="H515" s="1" t="s">
        <v>2637</v>
      </c>
    </row>
    <row r="516" spans="1:8" x14ac:dyDescent="0.25">
      <c r="A516" s="1" t="str">
        <f>"630  "</f>
        <v xml:space="preserve">630  </v>
      </c>
      <c r="B516" s="1" t="s">
        <v>213</v>
      </c>
      <c r="C516" s="1" t="str">
        <f t="shared" si="0"/>
        <v xml:space="preserve">-                                                 </v>
      </c>
      <c r="D516" s="1" t="str">
        <f t="shared" si="1"/>
        <v xml:space="preserve">-                                      </v>
      </c>
      <c r="E516" s="1" t="str">
        <f t="shared" si="2"/>
        <v xml:space="preserve">- </v>
      </c>
      <c r="F516" s="1" t="str">
        <f t="shared" si="3"/>
        <v xml:space="preserve">-----    </v>
      </c>
      <c r="G516" s="1" t="s">
        <v>2637</v>
      </c>
      <c r="H516" s="1" t="s">
        <v>2637</v>
      </c>
    </row>
    <row r="517" spans="1:8" x14ac:dyDescent="0.25">
      <c r="A517" s="1" t="str">
        <f>"631  "</f>
        <v xml:space="preserve">631  </v>
      </c>
      <c r="B517" s="1" t="s">
        <v>469</v>
      </c>
      <c r="C517" s="1" t="str">
        <f t="shared" si="0"/>
        <v xml:space="preserve">-                                                 </v>
      </c>
      <c r="D517" s="1" t="str">
        <f t="shared" si="1"/>
        <v xml:space="preserve">-                                      </v>
      </c>
      <c r="E517" s="1" t="str">
        <f t="shared" si="2"/>
        <v xml:space="preserve">- </v>
      </c>
      <c r="F517" s="1" t="str">
        <f t="shared" si="3"/>
        <v xml:space="preserve">-----    </v>
      </c>
      <c r="G517" s="1" t="s">
        <v>2637</v>
      </c>
      <c r="H517" s="1" t="s">
        <v>2637</v>
      </c>
    </row>
    <row r="518" spans="1:8" x14ac:dyDescent="0.25">
      <c r="A518" s="1" t="str">
        <f>"632  "</f>
        <v xml:space="preserve">632  </v>
      </c>
      <c r="B518" s="1" t="s">
        <v>2259</v>
      </c>
      <c r="C518" s="1" t="str">
        <f t="shared" si="0"/>
        <v xml:space="preserve">-                                                 </v>
      </c>
      <c r="D518" s="1" t="str">
        <f t="shared" si="1"/>
        <v xml:space="preserve">-                                      </v>
      </c>
      <c r="E518" s="1" t="str">
        <f t="shared" si="2"/>
        <v xml:space="preserve">- </v>
      </c>
      <c r="F518" s="1" t="str">
        <f t="shared" si="3"/>
        <v xml:space="preserve">-----    </v>
      </c>
      <c r="G518" s="1" t="s">
        <v>2637</v>
      </c>
      <c r="H518" s="1" t="s">
        <v>2637</v>
      </c>
    </row>
    <row r="519" spans="1:8" x14ac:dyDescent="0.25">
      <c r="A519" s="1" t="str">
        <f>"633  "</f>
        <v xml:space="preserve">633  </v>
      </c>
      <c r="B519" s="1" t="s">
        <v>1480</v>
      </c>
      <c r="C519" s="1" t="str">
        <f t="shared" si="0"/>
        <v xml:space="preserve">-                                                 </v>
      </c>
      <c r="D519" s="1" t="str">
        <f t="shared" si="1"/>
        <v xml:space="preserve">-                                      </v>
      </c>
      <c r="E519" s="1" t="str">
        <f t="shared" si="2"/>
        <v xml:space="preserve">- </v>
      </c>
      <c r="F519" s="1" t="str">
        <f>"-        "</f>
        <v xml:space="preserve">-        </v>
      </c>
      <c r="G519" s="1" t="s">
        <v>2637</v>
      </c>
      <c r="H519" s="1" t="s">
        <v>2637</v>
      </c>
    </row>
    <row r="520" spans="1:8" x14ac:dyDescent="0.25">
      <c r="A520" s="1" t="str">
        <f>"635  "</f>
        <v xml:space="preserve">635  </v>
      </c>
      <c r="B520" s="1" t="s">
        <v>2358</v>
      </c>
      <c r="C520" s="1" t="s">
        <v>2359</v>
      </c>
      <c r="D520" s="1" t="s">
        <v>2891</v>
      </c>
      <c r="E520" s="1" t="s">
        <v>2862</v>
      </c>
      <c r="F520" s="1" t="str">
        <f>"68175    "</f>
        <v xml:space="preserve">68175    </v>
      </c>
      <c r="G520" s="1" t="str">
        <f>"4023427600"</f>
        <v>4023427600</v>
      </c>
      <c r="H520" s="1" t="s">
        <v>809</v>
      </c>
    </row>
    <row r="521" spans="1:8" x14ac:dyDescent="0.25">
      <c r="A521" s="1" t="str">
        <f>"636  "</f>
        <v xml:space="preserve">636  </v>
      </c>
      <c r="B521" s="1" t="s">
        <v>2358</v>
      </c>
      <c r="C521" s="1" t="s">
        <v>2359</v>
      </c>
      <c r="D521" s="1" t="s">
        <v>2891</v>
      </c>
      <c r="E521" s="1" t="s">
        <v>2862</v>
      </c>
      <c r="F521" s="1" t="str">
        <f>"68175    "</f>
        <v xml:space="preserve">68175    </v>
      </c>
      <c r="G521" s="1" t="s">
        <v>2637</v>
      </c>
      <c r="H521" s="1" t="s">
        <v>2360</v>
      </c>
    </row>
    <row r="522" spans="1:8" x14ac:dyDescent="0.25">
      <c r="A522" s="1" t="str">
        <f>"637  "</f>
        <v xml:space="preserve">637  </v>
      </c>
      <c r="B522" s="1" t="s">
        <v>3193</v>
      </c>
      <c r="C522" s="1" t="s">
        <v>3194</v>
      </c>
      <c r="D522" s="1" t="s">
        <v>2791</v>
      </c>
      <c r="E522" s="1" t="s">
        <v>2744</v>
      </c>
      <c r="F522" s="1" t="str">
        <f>"40742    "</f>
        <v xml:space="preserve">40742    </v>
      </c>
      <c r="G522" s="1" t="str">
        <f>"8882762020"</f>
        <v>8882762020</v>
      </c>
      <c r="H522" s="1" t="s">
        <v>3195</v>
      </c>
    </row>
    <row r="523" spans="1:8" x14ac:dyDescent="0.25">
      <c r="A523" s="1" t="str">
        <f>"638  "</f>
        <v xml:space="preserve">638  </v>
      </c>
      <c r="B523" s="1" t="s">
        <v>324</v>
      </c>
      <c r="C523" s="1" t="str">
        <f>"250 BERRYHILL RD                                  "</f>
        <v xml:space="preserve">250 BERRYHILL RD                                  </v>
      </c>
      <c r="D523" s="1" t="s">
        <v>2701</v>
      </c>
      <c r="E523" s="1" t="s">
        <v>2660</v>
      </c>
      <c r="F523" s="1" t="str">
        <f>"29210    "</f>
        <v xml:space="preserve">29210    </v>
      </c>
      <c r="G523" s="1" t="str">
        <f>"8037985852"</f>
        <v>8037985852</v>
      </c>
      <c r="H523" s="1" t="s">
        <v>3195</v>
      </c>
    </row>
    <row r="524" spans="1:8" x14ac:dyDescent="0.25">
      <c r="A524" s="1" t="str">
        <f>"639  "</f>
        <v xml:space="preserve">639  </v>
      </c>
      <c r="B524" s="1" t="s">
        <v>1336</v>
      </c>
      <c r="C524" s="1" t="str">
        <f>"255 ENTERPRISE BLVE.  STE. 20                     "</f>
        <v xml:space="preserve">255 ENTERPRISE BLVE.  STE. 20                     </v>
      </c>
      <c r="D524" s="1" t="s">
        <v>2710</v>
      </c>
      <c r="E524" s="1" t="s">
        <v>2660</v>
      </c>
      <c r="F524" s="1" t="str">
        <f>"29615    "</f>
        <v xml:space="preserve">29615    </v>
      </c>
      <c r="G524" s="1" t="str">
        <f>"8644551100"</f>
        <v>8644551100</v>
      </c>
      <c r="H524" s="1" t="s">
        <v>3195</v>
      </c>
    </row>
    <row r="525" spans="1:8" x14ac:dyDescent="0.25">
      <c r="A525" s="1" t="str">
        <f>"642  "</f>
        <v xml:space="preserve">642  </v>
      </c>
      <c r="B525" s="1" t="s">
        <v>519</v>
      </c>
      <c r="C525" s="1" t="s">
        <v>520</v>
      </c>
      <c r="D525" s="1" t="s">
        <v>2939</v>
      </c>
      <c r="E525" s="1" t="s">
        <v>2667</v>
      </c>
      <c r="F525" s="1" t="str">
        <f>"537077890"</f>
        <v>537077890</v>
      </c>
      <c r="G525" s="1" t="str">
        <f>"8667730404"</f>
        <v>8667730404</v>
      </c>
      <c r="H525" s="1" t="s">
        <v>2637</v>
      </c>
    </row>
    <row r="526" spans="1:8" x14ac:dyDescent="0.25">
      <c r="A526" s="1" t="str">
        <f>"643  "</f>
        <v xml:space="preserve">643  </v>
      </c>
      <c r="B526" s="1" t="s">
        <v>740</v>
      </c>
      <c r="C526" s="1" t="str">
        <f>"730 CHESTNUT ST                                   "</f>
        <v xml:space="preserve">730 CHESTNUT ST                                   </v>
      </c>
      <c r="D526" s="1" t="s">
        <v>3045</v>
      </c>
      <c r="E526" s="1" t="s">
        <v>2970</v>
      </c>
      <c r="F526" s="1" t="str">
        <f>"37402    "</f>
        <v xml:space="preserve">37402    </v>
      </c>
      <c r="G526" s="1" t="str">
        <f>"8772966189"</f>
        <v>8772966189</v>
      </c>
      <c r="H526" s="1" t="s">
        <v>3215</v>
      </c>
    </row>
    <row r="527" spans="1:8" x14ac:dyDescent="0.25">
      <c r="A527" s="1" t="str">
        <f>"644  "</f>
        <v xml:space="preserve">644  </v>
      </c>
      <c r="B527" s="1" t="s">
        <v>68</v>
      </c>
      <c r="C527" s="1" t="s">
        <v>69</v>
      </c>
      <c r="D527" s="1" t="s">
        <v>2923</v>
      </c>
      <c r="E527" s="1" t="s">
        <v>2681</v>
      </c>
      <c r="F527" s="1" t="str">
        <f>"31908    "</f>
        <v xml:space="preserve">31908    </v>
      </c>
      <c r="G527" s="1" t="str">
        <f>"8004412273"</f>
        <v>8004412273</v>
      </c>
      <c r="H527" s="1" t="s">
        <v>3215</v>
      </c>
    </row>
    <row r="528" spans="1:8" x14ac:dyDescent="0.25">
      <c r="A528" s="1" t="str">
        <f>"645  "</f>
        <v xml:space="preserve">645  </v>
      </c>
      <c r="B528" s="1" t="s">
        <v>1079</v>
      </c>
      <c r="C528" s="1" t="s">
        <v>1080</v>
      </c>
      <c r="D528" s="1" t="s">
        <v>1081</v>
      </c>
      <c r="E528" s="1" t="s">
        <v>2647</v>
      </c>
      <c r="F528" s="1" t="str">
        <f>"21900    "</f>
        <v xml:space="preserve">21900    </v>
      </c>
      <c r="G528" s="1" t="str">
        <f>"6152445600"</f>
        <v>6152445600</v>
      </c>
      <c r="H528" s="1" t="s">
        <v>2795</v>
      </c>
    </row>
    <row r="529" spans="1:8" x14ac:dyDescent="0.25">
      <c r="A529" s="1" t="str">
        <f>"646  "</f>
        <v xml:space="preserve">646  </v>
      </c>
      <c r="B529" s="1" t="s">
        <v>3213</v>
      </c>
      <c r="C529" s="1" t="s">
        <v>3214</v>
      </c>
      <c r="D529" s="1" t="s">
        <v>3157</v>
      </c>
      <c r="E529" s="1" t="s">
        <v>2970</v>
      </c>
      <c r="F529" s="1" t="str">
        <f>"37202    "</f>
        <v xml:space="preserve">37202    </v>
      </c>
      <c r="G529" s="1" t="str">
        <f>"6152445600"</f>
        <v>6152445600</v>
      </c>
      <c r="H529" s="1" t="s">
        <v>3215</v>
      </c>
    </row>
    <row r="530" spans="1:8" x14ac:dyDescent="0.25">
      <c r="A530" s="1" t="str">
        <f>"648  "</f>
        <v xml:space="preserve">648  </v>
      </c>
      <c r="B530" s="1" t="s">
        <v>2526</v>
      </c>
      <c r="C530" s="1" t="s">
        <v>2527</v>
      </c>
      <c r="D530" s="1" t="s">
        <v>2528</v>
      </c>
      <c r="E530" s="1" t="s">
        <v>2660</v>
      </c>
      <c r="F530" s="1" t="str">
        <f>"29020    "</f>
        <v xml:space="preserve">29020    </v>
      </c>
      <c r="G530" s="1" t="str">
        <f>"8775115000"</f>
        <v>8775115000</v>
      </c>
      <c r="H530" s="1" t="s">
        <v>2795</v>
      </c>
    </row>
    <row r="531" spans="1:8" x14ac:dyDescent="0.25">
      <c r="A531" s="1" t="str">
        <f>"650  "</f>
        <v xml:space="preserve">650  </v>
      </c>
      <c r="B531" s="1" t="s">
        <v>1709</v>
      </c>
      <c r="C531" s="1" t="str">
        <f t="shared" ref="C531:C562" si="4">"-                                                 "</f>
        <v xml:space="preserve">-                                                 </v>
      </c>
      <c r="D531" s="1" t="str">
        <f t="shared" ref="D531:D562" si="5">"-                                      "</f>
        <v xml:space="preserve">-                                      </v>
      </c>
      <c r="E531" s="1" t="str">
        <f t="shared" ref="E531:E562" si="6">"- "</f>
        <v xml:space="preserve">- </v>
      </c>
      <c r="F531" s="1" t="str">
        <f t="shared" ref="F531:F562" si="7">"-        "</f>
        <v xml:space="preserve">-        </v>
      </c>
      <c r="G531" s="1" t="s">
        <v>2637</v>
      </c>
      <c r="H531" s="1" t="s">
        <v>2637</v>
      </c>
    </row>
    <row r="532" spans="1:8" x14ac:dyDescent="0.25">
      <c r="A532" s="1" t="str">
        <f>"651  "</f>
        <v xml:space="preserve">651  </v>
      </c>
      <c r="B532" s="1" t="s">
        <v>323</v>
      </c>
      <c r="C532" s="1" t="str">
        <f t="shared" si="4"/>
        <v xml:space="preserve">-                                                 </v>
      </c>
      <c r="D532" s="1" t="str">
        <f t="shared" si="5"/>
        <v xml:space="preserve">-                                      </v>
      </c>
      <c r="E532" s="1" t="str">
        <f t="shared" si="6"/>
        <v xml:space="preserve">- </v>
      </c>
      <c r="F532" s="1" t="str">
        <f t="shared" si="7"/>
        <v xml:space="preserve">-        </v>
      </c>
      <c r="G532" s="1" t="s">
        <v>2637</v>
      </c>
      <c r="H532" s="1" t="s">
        <v>2637</v>
      </c>
    </row>
    <row r="533" spans="1:8" x14ac:dyDescent="0.25">
      <c r="A533" s="1" t="str">
        <f>"652  "</f>
        <v xml:space="preserve">652  </v>
      </c>
      <c r="B533" s="1" t="s">
        <v>2962</v>
      </c>
      <c r="C533" s="1" t="str">
        <f t="shared" si="4"/>
        <v xml:space="preserve">-                                                 </v>
      </c>
      <c r="D533" s="1" t="str">
        <f t="shared" si="5"/>
        <v xml:space="preserve">-                                      </v>
      </c>
      <c r="E533" s="1" t="str">
        <f t="shared" si="6"/>
        <v xml:space="preserve">- </v>
      </c>
      <c r="F533" s="1" t="str">
        <f t="shared" si="7"/>
        <v xml:space="preserve">-        </v>
      </c>
      <c r="G533" s="1" t="s">
        <v>2637</v>
      </c>
      <c r="H533" s="1" t="s">
        <v>2637</v>
      </c>
    </row>
    <row r="534" spans="1:8" x14ac:dyDescent="0.25">
      <c r="A534" s="1" t="str">
        <f>"653  "</f>
        <v xml:space="preserve">653  </v>
      </c>
      <c r="B534" s="1" t="s">
        <v>1858</v>
      </c>
      <c r="C534" s="1" t="str">
        <f t="shared" si="4"/>
        <v xml:space="preserve">-                                                 </v>
      </c>
      <c r="D534" s="1" t="str">
        <f t="shared" si="5"/>
        <v xml:space="preserve">-                                      </v>
      </c>
      <c r="E534" s="1" t="str">
        <f t="shared" si="6"/>
        <v xml:space="preserve">- </v>
      </c>
      <c r="F534" s="1" t="str">
        <f t="shared" si="7"/>
        <v xml:space="preserve">-        </v>
      </c>
      <c r="G534" s="1" t="s">
        <v>2637</v>
      </c>
      <c r="H534" s="1" t="s">
        <v>2637</v>
      </c>
    </row>
    <row r="535" spans="1:8" x14ac:dyDescent="0.25">
      <c r="A535" s="1" t="str">
        <f>"654  "</f>
        <v xml:space="preserve">654  </v>
      </c>
      <c r="B535" s="1" t="s">
        <v>119</v>
      </c>
      <c r="C535" s="1" t="str">
        <f t="shared" si="4"/>
        <v xml:space="preserve">-                                                 </v>
      </c>
      <c r="D535" s="1" t="str">
        <f t="shared" si="5"/>
        <v xml:space="preserve">-                                      </v>
      </c>
      <c r="E535" s="1" t="str">
        <f t="shared" si="6"/>
        <v xml:space="preserve">- </v>
      </c>
      <c r="F535" s="1" t="str">
        <f t="shared" si="7"/>
        <v xml:space="preserve">-        </v>
      </c>
      <c r="G535" s="1" t="s">
        <v>2637</v>
      </c>
      <c r="H535" s="1" t="s">
        <v>2637</v>
      </c>
    </row>
    <row r="536" spans="1:8" x14ac:dyDescent="0.25">
      <c r="A536" s="1" t="str">
        <f>"655  "</f>
        <v xml:space="preserve">655  </v>
      </c>
      <c r="B536" s="1" t="s">
        <v>2155</v>
      </c>
      <c r="C536" s="1" t="str">
        <f t="shared" si="4"/>
        <v xml:space="preserve">-                                                 </v>
      </c>
      <c r="D536" s="1" t="str">
        <f t="shared" si="5"/>
        <v xml:space="preserve">-                                      </v>
      </c>
      <c r="E536" s="1" t="str">
        <f t="shared" si="6"/>
        <v xml:space="preserve">- </v>
      </c>
      <c r="F536" s="1" t="str">
        <f t="shared" si="7"/>
        <v xml:space="preserve">-        </v>
      </c>
      <c r="G536" s="1" t="s">
        <v>2637</v>
      </c>
      <c r="H536" s="1" t="s">
        <v>2637</v>
      </c>
    </row>
    <row r="537" spans="1:8" x14ac:dyDescent="0.25">
      <c r="A537" s="1" t="str">
        <f>"656  "</f>
        <v xml:space="preserve">656  </v>
      </c>
      <c r="B537" s="1" t="s">
        <v>1896</v>
      </c>
      <c r="C537" s="1" t="str">
        <f t="shared" si="4"/>
        <v xml:space="preserve">-                                                 </v>
      </c>
      <c r="D537" s="1" t="str">
        <f t="shared" si="5"/>
        <v xml:space="preserve">-                                      </v>
      </c>
      <c r="E537" s="1" t="str">
        <f t="shared" si="6"/>
        <v xml:space="preserve">- </v>
      </c>
      <c r="F537" s="1" t="str">
        <f t="shared" si="7"/>
        <v xml:space="preserve">-        </v>
      </c>
      <c r="G537" s="1" t="s">
        <v>2637</v>
      </c>
      <c r="H537" s="1" t="s">
        <v>2637</v>
      </c>
    </row>
    <row r="538" spans="1:8" x14ac:dyDescent="0.25">
      <c r="A538" s="1" t="str">
        <f>"657  "</f>
        <v xml:space="preserve">657  </v>
      </c>
      <c r="B538" s="1" t="s">
        <v>702</v>
      </c>
      <c r="C538" s="1" t="str">
        <f t="shared" si="4"/>
        <v xml:space="preserve">-                                                 </v>
      </c>
      <c r="D538" s="1" t="str">
        <f t="shared" si="5"/>
        <v xml:space="preserve">-                                      </v>
      </c>
      <c r="E538" s="1" t="str">
        <f t="shared" si="6"/>
        <v xml:space="preserve">- </v>
      </c>
      <c r="F538" s="1" t="str">
        <f t="shared" si="7"/>
        <v xml:space="preserve">-        </v>
      </c>
      <c r="G538" s="1" t="s">
        <v>2637</v>
      </c>
      <c r="H538" s="1" t="s">
        <v>2637</v>
      </c>
    </row>
    <row r="539" spans="1:8" x14ac:dyDescent="0.25">
      <c r="A539" s="1" t="str">
        <f>"658  "</f>
        <v xml:space="preserve">658  </v>
      </c>
      <c r="B539" s="1" t="s">
        <v>701</v>
      </c>
      <c r="C539" s="1" t="str">
        <f t="shared" si="4"/>
        <v xml:space="preserve">-                                                 </v>
      </c>
      <c r="D539" s="1" t="str">
        <f t="shared" si="5"/>
        <v xml:space="preserve">-                                      </v>
      </c>
      <c r="E539" s="1" t="str">
        <f t="shared" si="6"/>
        <v xml:space="preserve">- </v>
      </c>
      <c r="F539" s="1" t="str">
        <f t="shared" si="7"/>
        <v xml:space="preserve">-        </v>
      </c>
      <c r="G539" s="1" t="s">
        <v>2637</v>
      </c>
      <c r="H539" s="1" t="s">
        <v>2637</v>
      </c>
    </row>
    <row r="540" spans="1:8" x14ac:dyDescent="0.25">
      <c r="A540" s="1" t="str">
        <f>"659  "</f>
        <v xml:space="preserve">659  </v>
      </c>
      <c r="B540" s="1" t="s">
        <v>131</v>
      </c>
      <c r="C540" s="1" t="str">
        <f t="shared" si="4"/>
        <v xml:space="preserve">-                                                 </v>
      </c>
      <c r="D540" s="1" t="str">
        <f t="shared" si="5"/>
        <v xml:space="preserve">-                                      </v>
      </c>
      <c r="E540" s="1" t="str">
        <f t="shared" si="6"/>
        <v xml:space="preserve">- </v>
      </c>
      <c r="F540" s="1" t="str">
        <f t="shared" si="7"/>
        <v xml:space="preserve">-        </v>
      </c>
      <c r="G540" s="1" t="s">
        <v>2637</v>
      </c>
      <c r="H540" s="1" t="s">
        <v>2637</v>
      </c>
    </row>
    <row r="541" spans="1:8" x14ac:dyDescent="0.25">
      <c r="A541" s="1" t="str">
        <f>"660  "</f>
        <v xml:space="preserve">660  </v>
      </c>
      <c r="B541" s="1" t="s">
        <v>1946</v>
      </c>
      <c r="C541" s="1" t="str">
        <f t="shared" si="4"/>
        <v xml:space="preserve">-                                                 </v>
      </c>
      <c r="D541" s="1" t="str">
        <f t="shared" si="5"/>
        <v xml:space="preserve">-                                      </v>
      </c>
      <c r="E541" s="1" t="str">
        <f t="shared" si="6"/>
        <v xml:space="preserve">- </v>
      </c>
      <c r="F541" s="1" t="str">
        <f t="shared" si="7"/>
        <v xml:space="preserve">-        </v>
      </c>
      <c r="G541" s="1" t="s">
        <v>2637</v>
      </c>
      <c r="H541" s="1" t="s">
        <v>2637</v>
      </c>
    </row>
    <row r="542" spans="1:8" x14ac:dyDescent="0.25">
      <c r="A542" s="1" t="str">
        <f>"661  "</f>
        <v xml:space="preserve">661  </v>
      </c>
      <c r="B542" s="1" t="s">
        <v>1357</v>
      </c>
      <c r="C542" s="1" t="str">
        <f t="shared" si="4"/>
        <v xml:space="preserve">-                                                 </v>
      </c>
      <c r="D542" s="1" t="str">
        <f t="shared" si="5"/>
        <v xml:space="preserve">-                                      </v>
      </c>
      <c r="E542" s="1" t="str">
        <f t="shared" si="6"/>
        <v xml:space="preserve">- </v>
      </c>
      <c r="F542" s="1" t="str">
        <f t="shared" si="7"/>
        <v xml:space="preserve">-        </v>
      </c>
      <c r="G542" s="1" t="s">
        <v>2637</v>
      </c>
      <c r="H542" s="1" t="s">
        <v>2637</v>
      </c>
    </row>
    <row r="543" spans="1:8" x14ac:dyDescent="0.25">
      <c r="A543" s="1" t="str">
        <f>"662  "</f>
        <v xml:space="preserve">662  </v>
      </c>
      <c r="B543" s="1" t="s">
        <v>163</v>
      </c>
      <c r="C543" s="1" t="str">
        <f t="shared" si="4"/>
        <v xml:space="preserve">-                                                 </v>
      </c>
      <c r="D543" s="1" t="str">
        <f t="shared" si="5"/>
        <v xml:space="preserve">-                                      </v>
      </c>
      <c r="E543" s="1" t="str">
        <f t="shared" si="6"/>
        <v xml:space="preserve">- </v>
      </c>
      <c r="F543" s="1" t="str">
        <f t="shared" si="7"/>
        <v xml:space="preserve">-        </v>
      </c>
      <c r="G543" s="1" t="s">
        <v>2637</v>
      </c>
      <c r="H543" s="1" t="s">
        <v>2637</v>
      </c>
    </row>
    <row r="544" spans="1:8" x14ac:dyDescent="0.25">
      <c r="A544" s="1" t="str">
        <f>"663  "</f>
        <v xml:space="preserve">663  </v>
      </c>
      <c r="B544" s="1" t="s">
        <v>2718</v>
      </c>
      <c r="C544" s="1" t="str">
        <f t="shared" si="4"/>
        <v xml:space="preserve">-                                                 </v>
      </c>
      <c r="D544" s="1" t="str">
        <f t="shared" si="5"/>
        <v xml:space="preserve">-                                      </v>
      </c>
      <c r="E544" s="1" t="str">
        <f t="shared" si="6"/>
        <v xml:space="preserve">- </v>
      </c>
      <c r="F544" s="1" t="str">
        <f t="shared" si="7"/>
        <v xml:space="preserve">-        </v>
      </c>
      <c r="G544" s="1" t="s">
        <v>2637</v>
      </c>
      <c r="H544" s="1" t="s">
        <v>2637</v>
      </c>
    </row>
    <row r="545" spans="1:8" x14ac:dyDescent="0.25">
      <c r="A545" s="1" t="str">
        <f>"664  "</f>
        <v xml:space="preserve">664  </v>
      </c>
      <c r="B545" s="1" t="s">
        <v>2865</v>
      </c>
      <c r="C545" s="1" t="str">
        <f t="shared" si="4"/>
        <v xml:space="preserve">-                                                 </v>
      </c>
      <c r="D545" s="1" t="str">
        <f t="shared" si="5"/>
        <v xml:space="preserve">-                                      </v>
      </c>
      <c r="E545" s="1" t="str">
        <f t="shared" si="6"/>
        <v xml:space="preserve">- </v>
      </c>
      <c r="F545" s="1" t="str">
        <f t="shared" si="7"/>
        <v xml:space="preserve">-        </v>
      </c>
      <c r="G545" s="1" t="s">
        <v>2637</v>
      </c>
      <c r="H545" s="1" t="s">
        <v>2637</v>
      </c>
    </row>
    <row r="546" spans="1:8" x14ac:dyDescent="0.25">
      <c r="A546" s="1" t="str">
        <f>"665  "</f>
        <v xml:space="preserve">665  </v>
      </c>
      <c r="B546" s="1" t="s">
        <v>2588</v>
      </c>
      <c r="C546" s="1" t="str">
        <f t="shared" si="4"/>
        <v xml:space="preserve">-                                                 </v>
      </c>
      <c r="D546" s="1" t="str">
        <f t="shared" si="5"/>
        <v xml:space="preserve">-                                      </v>
      </c>
      <c r="E546" s="1" t="str">
        <f t="shared" si="6"/>
        <v xml:space="preserve">- </v>
      </c>
      <c r="F546" s="1" t="str">
        <f t="shared" si="7"/>
        <v xml:space="preserve">-        </v>
      </c>
      <c r="G546" s="1" t="s">
        <v>2637</v>
      </c>
      <c r="H546" s="1" t="s">
        <v>2637</v>
      </c>
    </row>
    <row r="547" spans="1:8" x14ac:dyDescent="0.25">
      <c r="A547" s="1" t="str">
        <f>"666  "</f>
        <v xml:space="preserve">666  </v>
      </c>
      <c r="B547" s="1" t="s">
        <v>2945</v>
      </c>
      <c r="C547" s="1" t="str">
        <f t="shared" si="4"/>
        <v xml:space="preserve">-                                                 </v>
      </c>
      <c r="D547" s="1" t="str">
        <f t="shared" si="5"/>
        <v xml:space="preserve">-                                      </v>
      </c>
      <c r="E547" s="1" t="str">
        <f t="shared" si="6"/>
        <v xml:space="preserve">- </v>
      </c>
      <c r="F547" s="1" t="str">
        <f t="shared" si="7"/>
        <v xml:space="preserve">-        </v>
      </c>
      <c r="G547" s="1" t="s">
        <v>2637</v>
      </c>
      <c r="H547" s="1" t="s">
        <v>2637</v>
      </c>
    </row>
    <row r="548" spans="1:8" x14ac:dyDescent="0.25">
      <c r="A548" s="1" t="str">
        <f>"667  "</f>
        <v xml:space="preserve">667  </v>
      </c>
      <c r="B548" s="1" t="s">
        <v>1145</v>
      </c>
      <c r="C548" s="1" t="str">
        <f t="shared" si="4"/>
        <v xml:space="preserve">-                                                 </v>
      </c>
      <c r="D548" s="1" t="str">
        <f t="shared" si="5"/>
        <v xml:space="preserve">-                                      </v>
      </c>
      <c r="E548" s="1" t="str">
        <f t="shared" si="6"/>
        <v xml:space="preserve">- </v>
      </c>
      <c r="F548" s="1" t="str">
        <f t="shared" si="7"/>
        <v xml:space="preserve">-        </v>
      </c>
      <c r="G548" s="1" t="s">
        <v>2637</v>
      </c>
      <c r="H548" s="1" t="s">
        <v>2637</v>
      </c>
    </row>
    <row r="549" spans="1:8" x14ac:dyDescent="0.25">
      <c r="A549" s="1" t="str">
        <f>"668  "</f>
        <v xml:space="preserve">668  </v>
      </c>
      <c r="B549" s="1" t="s">
        <v>1761</v>
      </c>
      <c r="C549" s="1" t="str">
        <f t="shared" si="4"/>
        <v xml:space="preserve">-                                                 </v>
      </c>
      <c r="D549" s="1" t="str">
        <f t="shared" si="5"/>
        <v xml:space="preserve">-                                      </v>
      </c>
      <c r="E549" s="1" t="str">
        <f t="shared" si="6"/>
        <v xml:space="preserve">- </v>
      </c>
      <c r="F549" s="1" t="str">
        <f t="shared" si="7"/>
        <v xml:space="preserve">-        </v>
      </c>
      <c r="G549" s="1" t="s">
        <v>2637</v>
      </c>
      <c r="H549" s="1" t="s">
        <v>2637</v>
      </c>
    </row>
    <row r="550" spans="1:8" x14ac:dyDescent="0.25">
      <c r="A550" s="1" t="str">
        <f>"669  "</f>
        <v xml:space="preserve">669  </v>
      </c>
      <c r="B550" s="1" t="s">
        <v>2878</v>
      </c>
      <c r="C550" s="1" t="str">
        <f t="shared" si="4"/>
        <v xml:space="preserve">-                                                 </v>
      </c>
      <c r="D550" s="1" t="str">
        <f t="shared" si="5"/>
        <v xml:space="preserve">-                                      </v>
      </c>
      <c r="E550" s="1" t="str">
        <f t="shared" si="6"/>
        <v xml:space="preserve">- </v>
      </c>
      <c r="F550" s="1" t="str">
        <f t="shared" si="7"/>
        <v xml:space="preserve">-        </v>
      </c>
      <c r="G550" s="1" t="s">
        <v>2637</v>
      </c>
      <c r="H550" s="1" t="s">
        <v>2637</v>
      </c>
    </row>
    <row r="551" spans="1:8" x14ac:dyDescent="0.25">
      <c r="A551" s="1" t="str">
        <f>"670  "</f>
        <v xml:space="preserve">670  </v>
      </c>
      <c r="B551" s="1" t="s">
        <v>3184</v>
      </c>
      <c r="C551" s="1" t="str">
        <f t="shared" si="4"/>
        <v xml:space="preserve">-                                                 </v>
      </c>
      <c r="D551" s="1" t="str">
        <f t="shared" si="5"/>
        <v xml:space="preserve">-                                      </v>
      </c>
      <c r="E551" s="1" t="str">
        <f t="shared" si="6"/>
        <v xml:space="preserve">- </v>
      </c>
      <c r="F551" s="1" t="str">
        <f t="shared" si="7"/>
        <v xml:space="preserve">-        </v>
      </c>
      <c r="G551" s="1" t="s">
        <v>2637</v>
      </c>
      <c r="H551" s="1" t="s">
        <v>2637</v>
      </c>
    </row>
    <row r="552" spans="1:8" x14ac:dyDescent="0.25">
      <c r="A552" s="1" t="str">
        <f>"671  "</f>
        <v xml:space="preserve">671  </v>
      </c>
      <c r="B552" s="1" t="s">
        <v>3046</v>
      </c>
      <c r="C552" s="1" t="str">
        <f t="shared" si="4"/>
        <v xml:space="preserve">-                                                 </v>
      </c>
      <c r="D552" s="1" t="str">
        <f t="shared" si="5"/>
        <v xml:space="preserve">-                                      </v>
      </c>
      <c r="E552" s="1" t="str">
        <f t="shared" si="6"/>
        <v xml:space="preserve">- </v>
      </c>
      <c r="F552" s="1" t="str">
        <f t="shared" si="7"/>
        <v xml:space="preserve">-        </v>
      </c>
      <c r="G552" s="1" t="s">
        <v>2637</v>
      </c>
      <c r="H552" s="1" t="s">
        <v>2637</v>
      </c>
    </row>
    <row r="553" spans="1:8" x14ac:dyDescent="0.25">
      <c r="A553" s="1" t="str">
        <f>"672  "</f>
        <v xml:space="preserve">672  </v>
      </c>
      <c r="B553" s="1" t="s">
        <v>1018</v>
      </c>
      <c r="C553" s="1" t="str">
        <f t="shared" si="4"/>
        <v xml:space="preserve">-                                                 </v>
      </c>
      <c r="D553" s="1" t="str">
        <f t="shared" si="5"/>
        <v xml:space="preserve">-                                      </v>
      </c>
      <c r="E553" s="1" t="str">
        <f t="shared" si="6"/>
        <v xml:space="preserve">- </v>
      </c>
      <c r="F553" s="1" t="str">
        <f t="shared" si="7"/>
        <v xml:space="preserve">-        </v>
      </c>
      <c r="G553" s="1" t="s">
        <v>2637</v>
      </c>
      <c r="H553" s="1" t="s">
        <v>2637</v>
      </c>
    </row>
    <row r="554" spans="1:8" x14ac:dyDescent="0.25">
      <c r="A554" s="1" t="str">
        <f>"673  "</f>
        <v xml:space="preserve">673  </v>
      </c>
      <c r="B554" s="1" t="s">
        <v>693</v>
      </c>
      <c r="C554" s="1" t="str">
        <f t="shared" si="4"/>
        <v xml:space="preserve">-                                                 </v>
      </c>
      <c r="D554" s="1" t="str">
        <f t="shared" si="5"/>
        <v xml:space="preserve">-                                      </v>
      </c>
      <c r="E554" s="1" t="str">
        <f t="shared" si="6"/>
        <v xml:space="preserve">- </v>
      </c>
      <c r="F554" s="1" t="str">
        <f t="shared" si="7"/>
        <v xml:space="preserve">-        </v>
      </c>
      <c r="G554" s="1" t="s">
        <v>2637</v>
      </c>
      <c r="H554" s="1" t="s">
        <v>2637</v>
      </c>
    </row>
    <row r="555" spans="1:8" x14ac:dyDescent="0.25">
      <c r="A555" s="1" t="str">
        <f>"674  "</f>
        <v xml:space="preserve">674  </v>
      </c>
      <c r="B555" s="1" t="s">
        <v>1973</v>
      </c>
      <c r="C555" s="1" t="str">
        <f t="shared" si="4"/>
        <v xml:space="preserve">-                                                 </v>
      </c>
      <c r="D555" s="1" t="str">
        <f t="shared" si="5"/>
        <v xml:space="preserve">-                                      </v>
      </c>
      <c r="E555" s="1" t="str">
        <f t="shared" si="6"/>
        <v xml:space="preserve">- </v>
      </c>
      <c r="F555" s="1" t="str">
        <f t="shared" si="7"/>
        <v xml:space="preserve">-        </v>
      </c>
      <c r="G555" s="1" t="s">
        <v>2637</v>
      </c>
      <c r="H555" s="1" t="s">
        <v>2637</v>
      </c>
    </row>
    <row r="556" spans="1:8" x14ac:dyDescent="0.25">
      <c r="A556" s="1" t="str">
        <f>"675  "</f>
        <v xml:space="preserve">675  </v>
      </c>
      <c r="B556" s="1" t="s">
        <v>405</v>
      </c>
      <c r="C556" s="1" t="str">
        <f t="shared" si="4"/>
        <v xml:space="preserve">-                                                 </v>
      </c>
      <c r="D556" s="1" t="str">
        <f t="shared" si="5"/>
        <v xml:space="preserve">-                                      </v>
      </c>
      <c r="E556" s="1" t="str">
        <f t="shared" si="6"/>
        <v xml:space="preserve">- </v>
      </c>
      <c r="F556" s="1" t="str">
        <f t="shared" si="7"/>
        <v xml:space="preserve">-        </v>
      </c>
      <c r="G556" s="1" t="s">
        <v>2637</v>
      </c>
      <c r="H556" s="1" t="s">
        <v>2637</v>
      </c>
    </row>
    <row r="557" spans="1:8" x14ac:dyDescent="0.25">
      <c r="A557" s="1" t="str">
        <f>"676  "</f>
        <v xml:space="preserve">676  </v>
      </c>
      <c r="B557" s="1" t="s">
        <v>1815</v>
      </c>
      <c r="C557" s="1" t="str">
        <f t="shared" si="4"/>
        <v xml:space="preserve">-                                                 </v>
      </c>
      <c r="D557" s="1" t="str">
        <f t="shared" si="5"/>
        <v xml:space="preserve">-                                      </v>
      </c>
      <c r="E557" s="1" t="str">
        <f t="shared" si="6"/>
        <v xml:space="preserve">- </v>
      </c>
      <c r="F557" s="1" t="str">
        <f t="shared" si="7"/>
        <v xml:space="preserve">-        </v>
      </c>
      <c r="G557" s="1" t="s">
        <v>2637</v>
      </c>
      <c r="H557" s="1" t="s">
        <v>2637</v>
      </c>
    </row>
    <row r="558" spans="1:8" x14ac:dyDescent="0.25">
      <c r="A558" s="1" t="str">
        <f>"677  "</f>
        <v xml:space="preserve">677  </v>
      </c>
      <c r="B558" s="1" t="s">
        <v>315</v>
      </c>
      <c r="C558" s="1" t="str">
        <f t="shared" si="4"/>
        <v xml:space="preserve">-                                                 </v>
      </c>
      <c r="D558" s="1" t="str">
        <f t="shared" si="5"/>
        <v xml:space="preserve">-                                      </v>
      </c>
      <c r="E558" s="1" t="str">
        <f t="shared" si="6"/>
        <v xml:space="preserve">- </v>
      </c>
      <c r="F558" s="1" t="str">
        <f t="shared" si="7"/>
        <v xml:space="preserve">-        </v>
      </c>
      <c r="G558" s="1" t="s">
        <v>2637</v>
      </c>
      <c r="H558" s="1" t="s">
        <v>2637</v>
      </c>
    </row>
    <row r="559" spans="1:8" x14ac:dyDescent="0.25">
      <c r="A559" s="1" t="str">
        <f>"678  "</f>
        <v xml:space="preserve">678  </v>
      </c>
      <c r="B559" s="1" t="s">
        <v>1704</v>
      </c>
      <c r="C559" s="1" t="str">
        <f t="shared" si="4"/>
        <v xml:space="preserve">-                                                 </v>
      </c>
      <c r="D559" s="1" t="str">
        <f t="shared" si="5"/>
        <v xml:space="preserve">-                                      </v>
      </c>
      <c r="E559" s="1" t="str">
        <f t="shared" si="6"/>
        <v xml:space="preserve">- </v>
      </c>
      <c r="F559" s="1" t="str">
        <f t="shared" si="7"/>
        <v xml:space="preserve">-        </v>
      </c>
      <c r="G559" s="1" t="s">
        <v>2637</v>
      </c>
      <c r="H559" s="1" t="s">
        <v>2637</v>
      </c>
    </row>
    <row r="560" spans="1:8" x14ac:dyDescent="0.25">
      <c r="A560" s="1" t="str">
        <f>"679  "</f>
        <v xml:space="preserve">679  </v>
      </c>
      <c r="B560" s="1" t="s">
        <v>304</v>
      </c>
      <c r="C560" s="1" t="str">
        <f t="shared" si="4"/>
        <v xml:space="preserve">-                                                 </v>
      </c>
      <c r="D560" s="1" t="str">
        <f t="shared" si="5"/>
        <v xml:space="preserve">-                                      </v>
      </c>
      <c r="E560" s="1" t="str">
        <f t="shared" si="6"/>
        <v xml:space="preserve">- </v>
      </c>
      <c r="F560" s="1" t="str">
        <f t="shared" si="7"/>
        <v xml:space="preserve">-        </v>
      </c>
      <c r="G560" s="1" t="s">
        <v>2637</v>
      </c>
      <c r="H560" s="1" t="s">
        <v>2637</v>
      </c>
    </row>
    <row r="561" spans="1:8" x14ac:dyDescent="0.25">
      <c r="A561" s="1" t="str">
        <f>"680  "</f>
        <v xml:space="preserve">680  </v>
      </c>
      <c r="B561" s="1" t="s">
        <v>582</v>
      </c>
      <c r="C561" s="1" t="str">
        <f t="shared" si="4"/>
        <v xml:space="preserve">-                                                 </v>
      </c>
      <c r="D561" s="1" t="str">
        <f t="shared" si="5"/>
        <v xml:space="preserve">-                                      </v>
      </c>
      <c r="E561" s="1" t="str">
        <f t="shared" si="6"/>
        <v xml:space="preserve">- </v>
      </c>
      <c r="F561" s="1" t="str">
        <f t="shared" si="7"/>
        <v xml:space="preserve">-        </v>
      </c>
      <c r="G561" s="1" t="s">
        <v>2637</v>
      </c>
      <c r="H561" s="1" t="s">
        <v>2637</v>
      </c>
    </row>
    <row r="562" spans="1:8" x14ac:dyDescent="0.25">
      <c r="A562" s="1" t="str">
        <f>"681  "</f>
        <v xml:space="preserve">681  </v>
      </c>
      <c r="B562" s="1" t="s">
        <v>2654</v>
      </c>
      <c r="C562" s="1" t="str">
        <f t="shared" si="4"/>
        <v xml:space="preserve">-                                                 </v>
      </c>
      <c r="D562" s="1" t="str">
        <f t="shared" si="5"/>
        <v xml:space="preserve">-                                      </v>
      </c>
      <c r="E562" s="1" t="str">
        <f t="shared" si="6"/>
        <v xml:space="preserve">- </v>
      </c>
      <c r="F562" s="1" t="str">
        <f t="shared" si="7"/>
        <v xml:space="preserve">-        </v>
      </c>
      <c r="G562" s="1" t="s">
        <v>2637</v>
      </c>
      <c r="H562" s="1" t="s">
        <v>2637</v>
      </c>
    </row>
    <row r="563" spans="1:8" x14ac:dyDescent="0.25">
      <c r="A563" s="1" t="str">
        <f>"682  "</f>
        <v xml:space="preserve">682  </v>
      </c>
      <c r="B563" s="1" t="s">
        <v>1484</v>
      </c>
      <c r="C563" s="1" t="str">
        <f t="shared" ref="C563:C580" si="8">"-                                                 "</f>
        <v xml:space="preserve">-                                                 </v>
      </c>
      <c r="D563" s="1" t="str">
        <f t="shared" ref="D563:D580" si="9">"-                                      "</f>
        <v xml:space="preserve">-                                      </v>
      </c>
      <c r="E563" s="1" t="str">
        <f t="shared" ref="E563:E580" si="10">"- "</f>
        <v xml:space="preserve">- </v>
      </c>
      <c r="F563" s="1" t="str">
        <f t="shared" ref="F563:F580" si="11">"-        "</f>
        <v xml:space="preserve">-        </v>
      </c>
      <c r="G563" s="1" t="s">
        <v>2637</v>
      </c>
      <c r="H563" s="1" t="s">
        <v>2637</v>
      </c>
    </row>
    <row r="564" spans="1:8" x14ac:dyDescent="0.25">
      <c r="A564" s="1" t="str">
        <f>"683  "</f>
        <v xml:space="preserve">683  </v>
      </c>
      <c r="B564" s="1" t="s">
        <v>1866</v>
      </c>
      <c r="C564" s="1" t="str">
        <f t="shared" si="8"/>
        <v xml:space="preserve">-                                                 </v>
      </c>
      <c r="D564" s="1" t="str">
        <f t="shared" si="9"/>
        <v xml:space="preserve">-                                      </v>
      </c>
      <c r="E564" s="1" t="str">
        <f t="shared" si="10"/>
        <v xml:space="preserve">- </v>
      </c>
      <c r="F564" s="1" t="str">
        <f t="shared" si="11"/>
        <v xml:space="preserve">-        </v>
      </c>
      <c r="G564" s="1" t="s">
        <v>2637</v>
      </c>
      <c r="H564" s="1" t="s">
        <v>2637</v>
      </c>
    </row>
    <row r="565" spans="1:8" x14ac:dyDescent="0.25">
      <c r="A565" s="1" t="str">
        <f>"684  "</f>
        <v xml:space="preserve">684  </v>
      </c>
      <c r="B565" s="1" t="s">
        <v>380</v>
      </c>
      <c r="C565" s="1" t="str">
        <f t="shared" si="8"/>
        <v xml:space="preserve">-                                                 </v>
      </c>
      <c r="D565" s="1" t="str">
        <f t="shared" si="9"/>
        <v xml:space="preserve">-                                      </v>
      </c>
      <c r="E565" s="1" t="str">
        <f t="shared" si="10"/>
        <v xml:space="preserve">- </v>
      </c>
      <c r="F565" s="1" t="str">
        <f t="shared" si="11"/>
        <v xml:space="preserve">-        </v>
      </c>
      <c r="G565" s="1" t="s">
        <v>2637</v>
      </c>
      <c r="H565" s="1" t="s">
        <v>2637</v>
      </c>
    </row>
    <row r="566" spans="1:8" x14ac:dyDescent="0.25">
      <c r="A566" s="1" t="str">
        <f>"685  "</f>
        <v xml:space="preserve">685  </v>
      </c>
      <c r="B566" s="1" t="s">
        <v>2722</v>
      </c>
      <c r="C566" s="1" t="str">
        <f t="shared" si="8"/>
        <v xml:space="preserve">-                                                 </v>
      </c>
      <c r="D566" s="1" t="str">
        <f t="shared" si="9"/>
        <v xml:space="preserve">-                                      </v>
      </c>
      <c r="E566" s="1" t="str">
        <f t="shared" si="10"/>
        <v xml:space="preserve">- </v>
      </c>
      <c r="F566" s="1" t="str">
        <f t="shared" si="11"/>
        <v xml:space="preserve">-        </v>
      </c>
      <c r="G566" s="1" t="s">
        <v>2637</v>
      </c>
      <c r="H566" s="1" t="s">
        <v>2637</v>
      </c>
    </row>
    <row r="567" spans="1:8" x14ac:dyDescent="0.25">
      <c r="A567" s="1" t="str">
        <f>"686  "</f>
        <v xml:space="preserve">686  </v>
      </c>
      <c r="B567" s="1" t="s">
        <v>1545</v>
      </c>
      <c r="C567" s="1" t="str">
        <f t="shared" si="8"/>
        <v xml:space="preserve">-                                                 </v>
      </c>
      <c r="D567" s="1" t="str">
        <f t="shared" si="9"/>
        <v xml:space="preserve">-                                      </v>
      </c>
      <c r="E567" s="1" t="str">
        <f t="shared" si="10"/>
        <v xml:space="preserve">- </v>
      </c>
      <c r="F567" s="1" t="str">
        <f t="shared" si="11"/>
        <v xml:space="preserve">-        </v>
      </c>
      <c r="G567" s="1" t="s">
        <v>2637</v>
      </c>
      <c r="H567" s="1" t="s">
        <v>2637</v>
      </c>
    </row>
    <row r="568" spans="1:8" x14ac:dyDescent="0.25">
      <c r="A568" s="1" t="str">
        <f>"687  "</f>
        <v xml:space="preserve">687  </v>
      </c>
      <c r="B568" s="1" t="s">
        <v>1978</v>
      </c>
      <c r="C568" s="1" t="str">
        <f t="shared" si="8"/>
        <v xml:space="preserve">-                                                 </v>
      </c>
      <c r="D568" s="1" t="str">
        <f t="shared" si="9"/>
        <v xml:space="preserve">-                                      </v>
      </c>
      <c r="E568" s="1" t="str">
        <f t="shared" si="10"/>
        <v xml:space="preserve">- </v>
      </c>
      <c r="F568" s="1" t="str">
        <f t="shared" si="11"/>
        <v xml:space="preserve">-        </v>
      </c>
      <c r="G568" s="1" t="s">
        <v>2637</v>
      </c>
      <c r="H568" s="1" t="s">
        <v>2637</v>
      </c>
    </row>
    <row r="569" spans="1:8" x14ac:dyDescent="0.25">
      <c r="A569" s="1" t="str">
        <f>"688  "</f>
        <v xml:space="preserve">688  </v>
      </c>
      <c r="B569" s="1" t="s">
        <v>638</v>
      </c>
      <c r="C569" s="1" t="str">
        <f t="shared" si="8"/>
        <v xml:space="preserve">-                                                 </v>
      </c>
      <c r="D569" s="1" t="str">
        <f t="shared" si="9"/>
        <v xml:space="preserve">-                                      </v>
      </c>
      <c r="E569" s="1" t="str">
        <f t="shared" si="10"/>
        <v xml:space="preserve">- </v>
      </c>
      <c r="F569" s="1" t="str">
        <f t="shared" si="11"/>
        <v xml:space="preserve">-        </v>
      </c>
      <c r="G569" s="1" t="s">
        <v>2637</v>
      </c>
      <c r="H569" s="1" t="s">
        <v>2637</v>
      </c>
    </row>
    <row r="570" spans="1:8" x14ac:dyDescent="0.25">
      <c r="A570" s="1" t="str">
        <f>"689  "</f>
        <v xml:space="preserve">689  </v>
      </c>
      <c r="B570" s="1" t="s">
        <v>303</v>
      </c>
      <c r="C570" s="1" t="str">
        <f t="shared" si="8"/>
        <v xml:space="preserve">-                                                 </v>
      </c>
      <c r="D570" s="1" t="str">
        <f t="shared" si="9"/>
        <v xml:space="preserve">-                                      </v>
      </c>
      <c r="E570" s="1" t="str">
        <f t="shared" si="10"/>
        <v xml:space="preserve">- </v>
      </c>
      <c r="F570" s="1" t="str">
        <f t="shared" si="11"/>
        <v xml:space="preserve">-        </v>
      </c>
      <c r="G570" s="1" t="s">
        <v>2637</v>
      </c>
      <c r="H570" s="1" t="s">
        <v>2637</v>
      </c>
    </row>
    <row r="571" spans="1:8" x14ac:dyDescent="0.25">
      <c r="A571" s="1" t="str">
        <f>"690  "</f>
        <v xml:space="preserve">690  </v>
      </c>
      <c r="B571" s="1" t="s">
        <v>1977</v>
      </c>
      <c r="C571" s="1" t="str">
        <f t="shared" si="8"/>
        <v xml:space="preserve">-                                                 </v>
      </c>
      <c r="D571" s="1" t="str">
        <f t="shared" si="9"/>
        <v xml:space="preserve">-                                      </v>
      </c>
      <c r="E571" s="1" t="str">
        <f t="shared" si="10"/>
        <v xml:space="preserve">- </v>
      </c>
      <c r="F571" s="1" t="str">
        <f t="shared" si="11"/>
        <v xml:space="preserve">-        </v>
      </c>
      <c r="G571" s="1" t="s">
        <v>2637</v>
      </c>
      <c r="H571" s="1" t="s">
        <v>2637</v>
      </c>
    </row>
    <row r="572" spans="1:8" x14ac:dyDescent="0.25">
      <c r="A572" s="1" t="str">
        <f>"691  "</f>
        <v xml:space="preserve">691  </v>
      </c>
      <c r="B572" s="1" t="s">
        <v>1663</v>
      </c>
      <c r="C572" s="1" t="str">
        <f t="shared" si="8"/>
        <v xml:space="preserve">-                                                 </v>
      </c>
      <c r="D572" s="1" t="str">
        <f t="shared" si="9"/>
        <v xml:space="preserve">-                                      </v>
      </c>
      <c r="E572" s="1" t="str">
        <f t="shared" si="10"/>
        <v xml:space="preserve">- </v>
      </c>
      <c r="F572" s="1" t="str">
        <f t="shared" si="11"/>
        <v xml:space="preserve">-        </v>
      </c>
      <c r="G572" s="1" t="s">
        <v>2637</v>
      </c>
      <c r="H572" s="1" t="s">
        <v>2637</v>
      </c>
    </row>
    <row r="573" spans="1:8" x14ac:dyDescent="0.25">
      <c r="A573" s="1" t="str">
        <f>"692  "</f>
        <v xml:space="preserve">692  </v>
      </c>
      <c r="B573" s="1" t="s">
        <v>824</v>
      </c>
      <c r="C573" s="1" t="str">
        <f t="shared" si="8"/>
        <v xml:space="preserve">-                                                 </v>
      </c>
      <c r="D573" s="1" t="str">
        <f t="shared" si="9"/>
        <v xml:space="preserve">-                                      </v>
      </c>
      <c r="E573" s="1" t="str">
        <f t="shared" si="10"/>
        <v xml:space="preserve">- </v>
      </c>
      <c r="F573" s="1" t="str">
        <f t="shared" si="11"/>
        <v xml:space="preserve">-        </v>
      </c>
      <c r="G573" s="1" t="s">
        <v>2637</v>
      </c>
      <c r="H573" s="1" t="s">
        <v>2637</v>
      </c>
    </row>
    <row r="574" spans="1:8" x14ac:dyDescent="0.25">
      <c r="A574" s="1" t="str">
        <f>"693  "</f>
        <v xml:space="preserve">693  </v>
      </c>
      <c r="B574" s="1" t="s">
        <v>1892</v>
      </c>
      <c r="C574" s="1" t="str">
        <f t="shared" si="8"/>
        <v xml:space="preserve">-                                                 </v>
      </c>
      <c r="D574" s="1" t="str">
        <f t="shared" si="9"/>
        <v xml:space="preserve">-                                      </v>
      </c>
      <c r="E574" s="1" t="str">
        <f t="shared" si="10"/>
        <v xml:space="preserve">- </v>
      </c>
      <c r="F574" s="1" t="str">
        <f t="shared" si="11"/>
        <v xml:space="preserve">-        </v>
      </c>
      <c r="G574" s="1" t="s">
        <v>2637</v>
      </c>
      <c r="H574" s="1" t="s">
        <v>2637</v>
      </c>
    </row>
    <row r="575" spans="1:8" x14ac:dyDescent="0.25">
      <c r="A575" s="1" t="str">
        <f>"694  "</f>
        <v xml:space="preserve">694  </v>
      </c>
      <c r="B575" s="1" t="s">
        <v>1091</v>
      </c>
      <c r="C575" s="1" t="str">
        <f t="shared" si="8"/>
        <v xml:space="preserve">-                                                 </v>
      </c>
      <c r="D575" s="1" t="str">
        <f t="shared" si="9"/>
        <v xml:space="preserve">-                                      </v>
      </c>
      <c r="E575" s="1" t="str">
        <f t="shared" si="10"/>
        <v xml:space="preserve">- </v>
      </c>
      <c r="F575" s="1" t="str">
        <f t="shared" si="11"/>
        <v xml:space="preserve">-        </v>
      </c>
      <c r="G575" s="1" t="s">
        <v>2637</v>
      </c>
      <c r="H575" s="1" t="s">
        <v>2637</v>
      </c>
    </row>
    <row r="576" spans="1:8" x14ac:dyDescent="0.25">
      <c r="A576" s="1" t="str">
        <f>"695  "</f>
        <v xml:space="preserve">695  </v>
      </c>
      <c r="B576" s="1" t="s">
        <v>2469</v>
      </c>
      <c r="C576" s="1" t="str">
        <f t="shared" si="8"/>
        <v xml:space="preserve">-                                                 </v>
      </c>
      <c r="D576" s="1" t="str">
        <f t="shared" si="9"/>
        <v xml:space="preserve">-                                      </v>
      </c>
      <c r="E576" s="1" t="str">
        <f t="shared" si="10"/>
        <v xml:space="preserve">- </v>
      </c>
      <c r="F576" s="1" t="str">
        <f t="shared" si="11"/>
        <v xml:space="preserve">-        </v>
      </c>
      <c r="G576" s="1" t="s">
        <v>2637</v>
      </c>
      <c r="H576" s="1" t="s">
        <v>2637</v>
      </c>
    </row>
    <row r="577" spans="1:8" x14ac:dyDescent="0.25">
      <c r="A577" s="1" t="str">
        <f>"696  "</f>
        <v xml:space="preserve">696  </v>
      </c>
      <c r="B577" s="1" t="s">
        <v>212</v>
      </c>
      <c r="C577" s="1" t="str">
        <f t="shared" si="8"/>
        <v xml:space="preserve">-                                                 </v>
      </c>
      <c r="D577" s="1" t="str">
        <f t="shared" si="9"/>
        <v xml:space="preserve">-                                      </v>
      </c>
      <c r="E577" s="1" t="str">
        <f t="shared" si="10"/>
        <v xml:space="preserve">- </v>
      </c>
      <c r="F577" s="1" t="str">
        <f t="shared" si="11"/>
        <v xml:space="preserve">-        </v>
      </c>
      <c r="G577" s="1" t="s">
        <v>2637</v>
      </c>
      <c r="H577" s="1" t="s">
        <v>2637</v>
      </c>
    </row>
    <row r="578" spans="1:8" x14ac:dyDescent="0.25">
      <c r="A578" s="1" t="str">
        <f>"697  "</f>
        <v xml:space="preserve">697  </v>
      </c>
      <c r="B578" s="1" t="s">
        <v>1662</v>
      </c>
      <c r="C578" s="1" t="str">
        <f t="shared" si="8"/>
        <v xml:space="preserve">-                                                 </v>
      </c>
      <c r="D578" s="1" t="str">
        <f t="shared" si="9"/>
        <v xml:space="preserve">-                                      </v>
      </c>
      <c r="E578" s="1" t="str">
        <f t="shared" si="10"/>
        <v xml:space="preserve">- </v>
      </c>
      <c r="F578" s="1" t="str">
        <f t="shared" si="11"/>
        <v xml:space="preserve">-        </v>
      </c>
      <c r="G578" s="1" t="s">
        <v>2637</v>
      </c>
      <c r="H578" s="1" t="s">
        <v>2637</v>
      </c>
    </row>
    <row r="579" spans="1:8" x14ac:dyDescent="0.25">
      <c r="A579" s="1" t="str">
        <f>"698  "</f>
        <v xml:space="preserve">698  </v>
      </c>
      <c r="B579" s="1" t="s">
        <v>704</v>
      </c>
      <c r="C579" s="1" t="str">
        <f t="shared" si="8"/>
        <v xml:space="preserve">-                                                 </v>
      </c>
      <c r="D579" s="1" t="str">
        <f t="shared" si="9"/>
        <v xml:space="preserve">-                                      </v>
      </c>
      <c r="E579" s="1" t="str">
        <f t="shared" si="10"/>
        <v xml:space="preserve">- </v>
      </c>
      <c r="F579" s="1" t="str">
        <f t="shared" si="11"/>
        <v xml:space="preserve">-        </v>
      </c>
      <c r="G579" s="1" t="s">
        <v>2637</v>
      </c>
      <c r="H579" s="1" t="s">
        <v>2637</v>
      </c>
    </row>
    <row r="580" spans="1:8" x14ac:dyDescent="0.25">
      <c r="A580" s="1" t="str">
        <f>"700  "</f>
        <v xml:space="preserve">700  </v>
      </c>
      <c r="B580" s="1" t="s">
        <v>2637</v>
      </c>
      <c r="C580" s="1" t="str">
        <f t="shared" si="8"/>
        <v xml:space="preserve">-                                                 </v>
      </c>
      <c r="D580" s="1" t="str">
        <f t="shared" si="9"/>
        <v xml:space="preserve">-                                      </v>
      </c>
      <c r="E580" s="1" t="str">
        <f t="shared" si="10"/>
        <v xml:space="preserve">- </v>
      </c>
      <c r="F580" s="1" t="str">
        <f t="shared" si="11"/>
        <v xml:space="preserve">-        </v>
      </c>
      <c r="G580" s="1" t="str">
        <f>"         -"</f>
        <v xml:space="preserve">         -</v>
      </c>
      <c r="H580" s="1" t="s">
        <v>2637</v>
      </c>
    </row>
    <row r="581" spans="1:8" x14ac:dyDescent="0.25">
      <c r="A581" s="1" t="str">
        <f>"701  "</f>
        <v xml:space="preserve">701  </v>
      </c>
      <c r="B581" s="1" t="s">
        <v>1862</v>
      </c>
      <c r="C581" s="1" t="s">
        <v>1863</v>
      </c>
      <c r="D581" s="1" t="s">
        <v>2397</v>
      </c>
      <c r="E581" s="1" t="s">
        <v>3118</v>
      </c>
      <c r="F581" s="1" t="str">
        <f>"01151    "</f>
        <v xml:space="preserve">01151    </v>
      </c>
      <c r="G581" s="1" t="str">
        <f>"8002888630"</f>
        <v>8002888630</v>
      </c>
      <c r="H581" s="1" t="s">
        <v>2637</v>
      </c>
    </row>
    <row r="582" spans="1:8" x14ac:dyDescent="0.25">
      <c r="A582" s="1" t="str">
        <f>"702  "</f>
        <v xml:space="preserve">702  </v>
      </c>
      <c r="B582" s="1" t="s">
        <v>2069</v>
      </c>
      <c r="C582" s="1" t="s">
        <v>2070</v>
      </c>
      <c r="D582" s="1" t="s">
        <v>2805</v>
      </c>
      <c r="E582" s="1" t="s">
        <v>2636</v>
      </c>
      <c r="F582" s="1" t="str">
        <f>"787669201"</f>
        <v>787669201</v>
      </c>
      <c r="G582" s="1" t="str">
        <f>"8002529653"</f>
        <v>8002529653</v>
      </c>
      <c r="H582" s="1" t="s">
        <v>2688</v>
      </c>
    </row>
    <row r="583" spans="1:8" x14ac:dyDescent="0.25">
      <c r="A583" s="1" t="str">
        <f>"703  "</f>
        <v xml:space="preserve">703  </v>
      </c>
      <c r="B583" s="1" t="s">
        <v>1444</v>
      </c>
      <c r="C583" s="1" t="str">
        <f>"9140 ARROW POINT BLVD.  #200                      "</f>
        <v xml:space="preserve">9140 ARROW POINT BLVD.  #200                      </v>
      </c>
      <c r="D583" s="1" t="s">
        <v>2906</v>
      </c>
      <c r="E583" s="1" t="s">
        <v>2677</v>
      </c>
      <c r="F583" s="1" t="str">
        <f>"282738102"</f>
        <v>282738102</v>
      </c>
      <c r="G583" s="1" t="str">
        <f>"7045259666"</f>
        <v>7045259666</v>
      </c>
      <c r="H583" s="1" t="s">
        <v>2637</v>
      </c>
    </row>
    <row r="584" spans="1:8" x14ac:dyDescent="0.25">
      <c r="A584" s="1" t="str">
        <f>"704  "</f>
        <v xml:space="preserve">704  </v>
      </c>
      <c r="B584" s="1" t="s">
        <v>1490</v>
      </c>
      <c r="C584" s="1" t="str">
        <f>"1800 PHOENIX BLVD.  SUITE 310                     "</f>
        <v xml:space="preserve">1800 PHOENIX BLVD.  SUITE 310                     </v>
      </c>
      <c r="D584" s="1" t="s">
        <v>2717</v>
      </c>
      <c r="E584" s="1" t="s">
        <v>2681</v>
      </c>
      <c r="F584" s="1" t="str">
        <f>"30349    "</f>
        <v xml:space="preserve">30349    </v>
      </c>
      <c r="G584" s="1" t="str">
        <f>"8002417701"</f>
        <v>8002417701</v>
      </c>
      <c r="H584" s="1" t="s">
        <v>2637</v>
      </c>
    </row>
    <row r="585" spans="1:8" x14ac:dyDescent="0.25">
      <c r="A585" s="1" t="str">
        <f>"705  "</f>
        <v xml:space="preserve">705  </v>
      </c>
      <c r="B585" s="1" t="s">
        <v>832</v>
      </c>
      <c r="C585" s="1" t="s">
        <v>833</v>
      </c>
      <c r="D585" s="1" t="s">
        <v>2755</v>
      </c>
      <c r="E585" s="1" t="s">
        <v>2647</v>
      </c>
      <c r="F585" s="1" t="str">
        <f>"20849    "</f>
        <v xml:space="preserve">20849    </v>
      </c>
      <c r="G585" s="1" t="str">
        <f>"8002218699"</f>
        <v>8002218699</v>
      </c>
      <c r="H585" s="1" t="s">
        <v>2637</v>
      </c>
    </row>
    <row r="586" spans="1:8" x14ac:dyDescent="0.25">
      <c r="A586" s="1" t="str">
        <f>"706  "</f>
        <v xml:space="preserve">706  </v>
      </c>
      <c r="B586" s="1" t="s">
        <v>915</v>
      </c>
      <c r="C586" s="1" t="s">
        <v>1448</v>
      </c>
      <c r="D586" s="1" t="s">
        <v>1449</v>
      </c>
      <c r="E586" s="1" t="s">
        <v>2681</v>
      </c>
      <c r="F586" s="1" t="str">
        <f>"312020840"</f>
        <v>312020840</v>
      </c>
      <c r="G586" s="1" t="str">
        <f>"8887412673"</f>
        <v>8887412673</v>
      </c>
      <c r="H586" s="1" t="s">
        <v>2637</v>
      </c>
    </row>
    <row r="587" spans="1:8" x14ac:dyDescent="0.25">
      <c r="A587" s="1" t="str">
        <f>"707  "</f>
        <v xml:space="preserve">707  </v>
      </c>
      <c r="B587" s="1" t="s">
        <v>390</v>
      </c>
      <c r="C587" s="1" t="str">
        <f>"1019 TITAN RD                                     "</f>
        <v xml:space="preserve">1019 TITAN RD                                     </v>
      </c>
      <c r="D587" s="1" t="s">
        <v>391</v>
      </c>
      <c r="E587" s="1" t="s">
        <v>2660</v>
      </c>
      <c r="F587" s="1" t="str">
        <f>"29536    "</f>
        <v xml:space="preserve">29536    </v>
      </c>
      <c r="G587" s="1" t="str">
        <f>"8437747353"</f>
        <v>8437747353</v>
      </c>
      <c r="H587" s="1" t="s">
        <v>2637</v>
      </c>
    </row>
    <row r="588" spans="1:8" x14ac:dyDescent="0.25">
      <c r="A588" s="1" t="str">
        <f>"708  "</f>
        <v xml:space="preserve">708  </v>
      </c>
      <c r="B588" s="1" t="s">
        <v>2432</v>
      </c>
      <c r="C588" s="1" t="s">
        <v>775</v>
      </c>
      <c r="D588" s="1" t="s">
        <v>776</v>
      </c>
      <c r="E588" s="1" t="s">
        <v>2697</v>
      </c>
      <c r="F588" s="1" t="str">
        <f>"19406    "</f>
        <v xml:space="preserve">19406    </v>
      </c>
      <c r="G588" s="1" t="str">
        <f>"8885547629"</f>
        <v>8885547629</v>
      </c>
      <c r="H588" s="1" t="s">
        <v>777</v>
      </c>
    </row>
    <row r="589" spans="1:8" x14ac:dyDescent="0.25">
      <c r="A589" s="1" t="str">
        <f>"709  "</f>
        <v xml:space="preserve">709  </v>
      </c>
      <c r="B589" s="1" t="s">
        <v>3297</v>
      </c>
      <c r="C589" s="1" t="s">
        <v>3298</v>
      </c>
      <c r="D589" s="1" t="s">
        <v>3299</v>
      </c>
      <c r="E589" s="1" t="s">
        <v>3264</v>
      </c>
      <c r="F589" s="1" t="str">
        <f>"52244    "</f>
        <v xml:space="preserve">52244    </v>
      </c>
      <c r="G589" s="1" t="str">
        <f>"8008687526"</f>
        <v>8008687526</v>
      </c>
      <c r="H589" s="1" t="s">
        <v>2637</v>
      </c>
    </row>
    <row r="590" spans="1:8" x14ac:dyDescent="0.25">
      <c r="A590" s="1" t="str">
        <f>"710  "</f>
        <v xml:space="preserve">710  </v>
      </c>
      <c r="B590" s="1" t="str">
        <f>"21ST CENTURY HEALTH AND BENEFITS INC              "</f>
        <v xml:space="preserve">21ST CENTURY HEALTH AND BENEFITS INC              </v>
      </c>
      <c r="C590" s="1" t="s">
        <v>1471</v>
      </c>
      <c r="D590" s="1" t="s">
        <v>1472</v>
      </c>
      <c r="E590" s="1" t="s">
        <v>2821</v>
      </c>
      <c r="F590" s="1" t="str">
        <f>"08034    "</f>
        <v xml:space="preserve">08034    </v>
      </c>
      <c r="G590" s="1" t="str">
        <f>"8003234890"</f>
        <v>8003234890</v>
      </c>
      <c r="H590" s="1" t="s">
        <v>2637</v>
      </c>
    </row>
    <row r="591" spans="1:8" x14ac:dyDescent="0.25">
      <c r="A591" s="1" t="str">
        <f>"711  "</f>
        <v xml:space="preserve">711  </v>
      </c>
      <c r="B591" s="1" t="s">
        <v>978</v>
      </c>
      <c r="C591" s="1" t="s">
        <v>979</v>
      </c>
      <c r="D591" s="1" t="s">
        <v>980</v>
      </c>
      <c r="E591" s="1" t="s">
        <v>2681</v>
      </c>
      <c r="F591" s="1" t="str">
        <f>"302370607"</f>
        <v>302370607</v>
      </c>
      <c r="G591" s="1" t="str">
        <f>"4044771888"</f>
        <v>4044771888</v>
      </c>
      <c r="H591" s="1" t="s">
        <v>2637</v>
      </c>
    </row>
    <row r="592" spans="1:8" x14ac:dyDescent="0.25">
      <c r="A592" s="1" t="str">
        <f>"712  "</f>
        <v xml:space="preserve">712  </v>
      </c>
      <c r="B592" s="1" t="s">
        <v>3122</v>
      </c>
      <c r="C592" s="1" t="str">
        <f>"620 EPSILON DRIVE                                 "</f>
        <v xml:space="preserve">620 EPSILON DRIVE                                 </v>
      </c>
      <c r="D592" s="1" t="s">
        <v>3123</v>
      </c>
      <c r="E592" s="1" t="s">
        <v>2697</v>
      </c>
      <c r="F592" s="1" t="str">
        <f>"15238    "</f>
        <v xml:space="preserve">15238    </v>
      </c>
      <c r="G592" s="1" t="str">
        <f>"8005815300"</f>
        <v>8005815300</v>
      </c>
      <c r="H592" s="1" t="s">
        <v>3124</v>
      </c>
    </row>
    <row r="593" spans="1:8" x14ac:dyDescent="0.25">
      <c r="A593" s="1" t="str">
        <f>"713  "</f>
        <v xml:space="preserve">713  </v>
      </c>
      <c r="B593" s="1" t="s">
        <v>3079</v>
      </c>
      <c r="C593" s="1" t="s">
        <v>3080</v>
      </c>
      <c r="D593" s="1" t="s">
        <v>3081</v>
      </c>
      <c r="E593" s="1" t="s">
        <v>2636</v>
      </c>
      <c r="F593" s="1" t="str">
        <f>"750260957"</f>
        <v>750260957</v>
      </c>
      <c r="G593" s="1" t="str">
        <f>"8663736366"</f>
        <v>8663736366</v>
      </c>
      <c r="H593" s="1" t="s">
        <v>2760</v>
      </c>
    </row>
    <row r="594" spans="1:8" x14ac:dyDescent="0.25">
      <c r="A594" s="1" t="str">
        <f>"714  "</f>
        <v xml:space="preserve">714  </v>
      </c>
      <c r="B594" s="1" t="s">
        <v>560</v>
      </c>
      <c r="C594" s="1" t="str">
        <f>"2872 WOODCOCK  BLVD. #200                         "</f>
        <v xml:space="preserve">2872 WOODCOCK  BLVD. #200                         </v>
      </c>
      <c r="D594" s="1" t="s">
        <v>2717</v>
      </c>
      <c r="E594" s="1" t="s">
        <v>2681</v>
      </c>
      <c r="F594" s="1" t="str">
        <f>"30341    "</f>
        <v xml:space="preserve">30341    </v>
      </c>
      <c r="G594" s="1" t="str">
        <f>"8005337896"</f>
        <v>8005337896</v>
      </c>
      <c r="H594" s="1" t="s">
        <v>2760</v>
      </c>
    </row>
    <row r="595" spans="1:8" x14ac:dyDescent="0.25">
      <c r="A595" s="1" t="str">
        <f>"715  "</f>
        <v xml:space="preserve">715  </v>
      </c>
      <c r="B595" s="1" t="s">
        <v>617</v>
      </c>
      <c r="C595" s="1" t="s">
        <v>618</v>
      </c>
      <c r="D595" s="1" t="s">
        <v>2867</v>
      </c>
      <c r="E595" s="1" t="s">
        <v>2902</v>
      </c>
      <c r="F595" s="1" t="str">
        <f>"558168200"</f>
        <v>558168200</v>
      </c>
      <c r="G595" s="1" t="str">
        <f>"8005262414"</f>
        <v>8005262414</v>
      </c>
      <c r="H595" s="1" t="s">
        <v>619</v>
      </c>
    </row>
    <row r="596" spans="1:8" x14ac:dyDescent="0.25">
      <c r="A596" s="1" t="str">
        <f>"716  "</f>
        <v xml:space="preserve">716  </v>
      </c>
      <c r="B596" s="1" t="s">
        <v>116</v>
      </c>
      <c r="C596" s="1" t="s">
        <v>117</v>
      </c>
      <c r="D596" s="1" t="s">
        <v>118</v>
      </c>
      <c r="E596" s="1" t="s">
        <v>2821</v>
      </c>
      <c r="F596" s="1" t="str">
        <f>"07071    "</f>
        <v xml:space="preserve">07071    </v>
      </c>
      <c r="G596" s="1" t="str">
        <f>"8884463327"</f>
        <v>8884463327</v>
      </c>
      <c r="H596" s="1" t="s">
        <v>2760</v>
      </c>
    </row>
    <row r="597" spans="1:8" x14ac:dyDescent="0.25">
      <c r="A597" s="1" t="str">
        <f>"717  "</f>
        <v xml:space="preserve">717  </v>
      </c>
      <c r="B597" s="1" t="s">
        <v>141</v>
      </c>
      <c r="C597" s="1" t="s">
        <v>142</v>
      </c>
      <c r="D597" s="1" t="s">
        <v>3180</v>
      </c>
      <c r="E597" s="1" t="s">
        <v>2773</v>
      </c>
      <c r="F597" s="1" t="str">
        <f>"146922920"</f>
        <v>146922920</v>
      </c>
      <c r="G597" s="1" t="str">
        <f>"8009993920"</f>
        <v>8009993920</v>
      </c>
      <c r="H597" s="1" t="s">
        <v>2688</v>
      </c>
    </row>
    <row r="598" spans="1:8" x14ac:dyDescent="0.25">
      <c r="A598" s="1" t="str">
        <f>"718  "</f>
        <v xml:space="preserve">718  </v>
      </c>
      <c r="B598" s="1" t="s">
        <v>2565</v>
      </c>
      <c r="C598" s="1" t="s">
        <v>2566</v>
      </c>
      <c r="D598" s="1" t="s">
        <v>3045</v>
      </c>
      <c r="E598" s="1" t="s">
        <v>2970</v>
      </c>
      <c r="F598" s="1" t="str">
        <f>"374228053"</f>
        <v>374228053</v>
      </c>
      <c r="G598" s="1" t="str">
        <f>"8006225579"</f>
        <v>8006225579</v>
      </c>
      <c r="H598" s="1" t="s">
        <v>2637</v>
      </c>
    </row>
    <row r="599" spans="1:8" x14ac:dyDescent="0.25">
      <c r="A599" s="1" t="str">
        <f>"719  "</f>
        <v xml:space="preserve">719  </v>
      </c>
      <c r="B599" s="1" t="s">
        <v>1166</v>
      </c>
      <c r="C599" s="1" t="s">
        <v>1167</v>
      </c>
      <c r="D599" s="1" t="s">
        <v>2834</v>
      </c>
      <c r="E599" s="1" t="s">
        <v>2832</v>
      </c>
      <c r="F599" s="1" t="str">
        <f>"322470269"</f>
        <v>322470269</v>
      </c>
      <c r="G599" s="1" t="str">
        <f>"9043548335"</f>
        <v>9043548335</v>
      </c>
      <c r="H599" s="1" t="s">
        <v>2637</v>
      </c>
    </row>
    <row r="600" spans="1:8" x14ac:dyDescent="0.25">
      <c r="A600" s="1" t="str">
        <f>"720  "</f>
        <v xml:space="preserve">720  </v>
      </c>
      <c r="B600" s="1" t="s">
        <v>2103</v>
      </c>
      <c r="C600" s="1" t="s">
        <v>2104</v>
      </c>
      <c r="D600" s="1" t="s">
        <v>2105</v>
      </c>
      <c r="E600" s="1" t="s">
        <v>3164</v>
      </c>
      <c r="F600" s="1" t="str">
        <f>"24219    "</f>
        <v xml:space="preserve">24219    </v>
      </c>
      <c r="G600" s="1" t="str">
        <f>"8006549763"</f>
        <v>8006549763</v>
      </c>
      <c r="H600" s="1" t="s">
        <v>2637</v>
      </c>
    </row>
    <row r="601" spans="1:8" x14ac:dyDescent="0.25">
      <c r="A601" s="1" t="str">
        <f>"721  "</f>
        <v xml:space="preserve">721  </v>
      </c>
      <c r="B601" s="1" t="s">
        <v>2787</v>
      </c>
      <c r="C601" s="1" t="s">
        <v>2788</v>
      </c>
      <c r="D601" s="1" t="s">
        <v>2673</v>
      </c>
      <c r="E601" s="1" t="s">
        <v>2674</v>
      </c>
      <c r="F601" s="1" t="str">
        <f>"84130    "</f>
        <v xml:space="preserve">84130    </v>
      </c>
      <c r="G601" s="1" t="str">
        <f>"8778013507"</f>
        <v>8778013507</v>
      </c>
      <c r="H601" s="1" t="s">
        <v>2688</v>
      </c>
    </row>
    <row r="602" spans="1:8" x14ac:dyDescent="0.25">
      <c r="A602" s="1" t="str">
        <f>"722  "</f>
        <v xml:space="preserve">722  </v>
      </c>
      <c r="B602" s="1" t="s">
        <v>1968</v>
      </c>
      <c r="C602" s="1" t="s">
        <v>1969</v>
      </c>
      <c r="D602" s="1" t="s">
        <v>1970</v>
      </c>
      <c r="E602" s="1" t="s">
        <v>2902</v>
      </c>
      <c r="F602" s="1" t="str">
        <f>"55121    "</f>
        <v xml:space="preserve">55121    </v>
      </c>
      <c r="G602" s="1" t="str">
        <f>"8002472190"</f>
        <v>8002472190</v>
      </c>
      <c r="H602" s="1" t="s">
        <v>2637</v>
      </c>
    </row>
    <row r="603" spans="1:8" x14ac:dyDescent="0.25">
      <c r="A603" s="1" t="str">
        <f>"723  "</f>
        <v xml:space="preserve">723  </v>
      </c>
      <c r="B603" s="1" t="s">
        <v>1369</v>
      </c>
      <c r="C603" s="1" t="s">
        <v>1370</v>
      </c>
      <c r="D603" s="1" t="s">
        <v>2701</v>
      </c>
      <c r="E603" s="1" t="s">
        <v>2660</v>
      </c>
      <c r="F603" s="1" t="str">
        <f>"29202    "</f>
        <v xml:space="preserve">29202    </v>
      </c>
      <c r="G603" s="1" t="str">
        <f>"8032566265"</f>
        <v>8032566265</v>
      </c>
      <c r="H603" s="1" t="s">
        <v>2637</v>
      </c>
    </row>
    <row r="604" spans="1:8" x14ac:dyDescent="0.25">
      <c r="A604" s="1" t="str">
        <f>"724  "</f>
        <v xml:space="preserve">724  </v>
      </c>
      <c r="B604" s="1" t="s">
        <v>647</v>
      </c>
      <c r="C604" s="1" t="s">
        <v>648</v>
      </c>
      <c r="D604" s="1" t="s">
        <v>2877</v>
      </c>
      <c r="E604" s="1" t="s">
        <v>2786</v>
      </c>
      <c r="F604" s="1" t="str">
        <f>"61652    "</f>
        <v xml:space="preserve">61652    </v>
      </c>
      <c r="G604" s="1" t="str">
        <f>"8004484689"</f>
        <v>8004484689</v>
      </c>
      <c r="H604" s="1" t="s">
        <v>2688</v>
      </c>
    </row>
    <row r="605" spans="1:8" x14ac:dyDescent="0.25">
      <c r="A605" s="1" t="str">
        <f>"725  "</f>
        <v xml:space="preserve">725  </v>
      </c>
      <c r="B605" s="1" t="s">
        <v>136</v>
      </c>
      <c r="C605" s="1" t="str">
        <f>"203 FREEMONT AVENUE                               "</f>
        <v xml:space="preserve">203 FREEMONT AVENUE                               </v>
      </c>
      <c r="D605" s="1" t="s">
        <v>2616</v>
      </c>
      <c r="E605" s="1" t="s">
        <v>2660</v>
      </c>
      <c r="F605" s="1" t="str">
        <f>"29303    "</f>
        <v xml:space="preserve">29303    </v>
      </c>
      <c r="G605" s="1" t="str">
        <f>"8645852046"</f>
        <v>8645852046</v>
      </c>
      <c r="H605" s="1" t="s">
        <v>2637</v>
      </c>
    </row>
    <row r="606" spans="1:8" x14ac:dyDescent="0.25">
      <c r="A606" s="1" t="str">
        <f>"726  "</f>
        <v xml:space="preserve">726  </v>
      </c>
      <c r="B606" s="1" t="s">
        <v>2863</v>
      </c>
      <c r="C606" s="1" t="str">
        <f>"3218 HIGHWAY 67 SUITE 218                         "</f>
        <v xml:space="preserve">3218 HIGHWAY 67 SUITE 218                         </v>
      </c>
      <c r="D606" s="1" t="s">
        <v>2864</v>
      </c>
      <c r="E606" s="1" t="s">
        <v>2636</v>
      </c>
      <c r="F606" s="1" t="str">
        <f>"75150    "</f>
        <v xml:space="preserve">75150    </v>
      </c>
      <c r="G606" s="1" t="str">
        <f>"8008783157"</f>
        <v>8008783157</v>
      </c>
      <c r="H606" s="1" t="s">
        <v>2637</v>
      </c>
    </row>
    <row r="607" spans="1:8" x14ac:dyDescent="0.25">
      <c r="A607" s="1" t="str">
        <f>"727  "</f>
        <v xml:space="preserve">727  </v>
      </c>
      <c r="B607" s="1" t="s">
        <v>2187</v>
      </c>
      <c r="C607" s="1" t="str">
        <f>"8801 INDIAN HILLS DRIVE                           "</f>
        <v xml:space="preserve">8801 INDIAN HILLS DRIVE                           </v>
      </c>
      <c r="D607" s="1" t="s">
        <v>2891</v>
      </c>
      <c r="E607" s="1" t="s">
        <v>2862</v>
      </c>
      <c r="F607" s="1" t="str">
        <f>"68114    "</f>
        <v xml:space="preserve">68114    </v>
      </c>
      <c r="G607" s="1" t="str">
        <f>"8004624660"</f>
        <v>8004624660</v>
      </c>
      <c r="H607" s="1" t="s">
        <v>2637</v>
      </c>
    </row>
    <row r="608" spans="1:8" x14ac:dyDescent="0.25">
      <c r="A608" s="1" t="str">
        <f>"728  "</f>
        <v xml:space="preserve">728  </v>
      </c>
      <c r="B608" s="1" t="s">
        <v>731</v>
      </c>
      <c r="C608" s="1" t="str">
        <f>"305 MEDICINE BLVD.                                "</f>
        <v xml:space="preserve">305 MEDICINE BLVD.                                </v>
      </c>
      <c r="D608" s="1" t="s">
        <v>2772</v>
      </c>
      <c r="E608" s="1" t="s">
        <v>2773</v>
      </c>
      <c r="F608" s="1" t="str">
        <f>"10165    "</f>
        <v xml:space="preserve">10165    </v>
      </c>
      <c r="G608" s="1" t="str">
        <f>"8003412234"</f>
        <v>8003412234</v>
      </c>
      <c r="H608" s="1" t="s">
        <v>2637</v>
      </c>
    </row>
    <row r="609" spans="1:8" x14ac:dyDescent="0.25">
      <c r="A609" s="1" t="str">
        <f>"729  "</f>
        <v xml:space="preserve">729  </v>
      </c>
      <c r="B609" s="1" t="s">
        <v>1301</v>
      </c>
      <c r="C609" s="1" t="s">
        <v>1302</v>
      </c>
      <c r="D609" s="1" t="s">
        <v>1732</v>
      </c>
      <c r="E609" s="1" t="s">
        <v>2663</v>
      </c>
      <c r="F609" s="1" t="str">
        <f>"958191030"</f>
        <v>958191030</v>
      </c>
      <c r="G609" s="1" t="str">
        <f>"9164570821"</f>
        <v>9164570821</v>
      </c>
      <c r="H609" s="1" t="s">
        <v>2735</v>
      </c>
    </row>
    <row r="610" spans="1:8" x14ac:dyDescent="0.25">
      <c r="A610" s="1" t="str">
        <f>"730  "</f>
        <v xml:space="preserve">730  </v>
      </c>
      <c r="B610" s="1" t="s">
        <v>754</v>
      </c>
      <c r="C610" s="1" t="s">
        <v>755</v>
      </c>
      <c r="D610" s="1" t="s">
        <v>2680</v>
      </c>
      <c r="E610" s="1" t="s">
        <v>2681</v>
      </c>
      <c r="F610" s="1" t="str">
        <f>"314163088"</f>
        <v>314163088</v>
      </c>
      <c r="G610" s="1" t="str">
        <f>"8005666710"</f>
        <v>8005666710</v>
      </c>
      <c r="H610" s="1" t="s">
        <v>2637</v>
      </c>
    </row>
    <row r="611" spans="1:8" x14ac:dyDescent="0.25">
      <c r="A611" s="1" t="str">
        <f>"731  "</f>
        <v xml:space="preserve">731  </v>
      </c>
      <c r="B611" s="1" t="s">
        <v>3196</v>
      </c>
      <c r="C611" s="1" t="s">
        <v>3197</v>
      </c>
      <c r="D611" s="1" t="s">
        <v>2717</v>
      </c>
      <c r="E611" s="1" t="s">
        <v>2681</v>
      </c>
      <c r="F611" s="1" t="str">
        <f>"31139    "</f>
        <v xml:space="preserve">31139    </v>
      </c>
      <c r="G611" s="1" t="str">
        <f>"8664704959"</f>
        <v>8664704959</v>
      </c>
      <c r="H611" s="1" t="s">
        <v>2648</v>
      </c>
    </row>
    <row r="612" spans="1:8" x14ac:dyDescent="0.25">
      <c r="A612" s="1" t="str">
        <f>"732  "</f>
        <v xml:space="preserve">732  </v>
      </c>
      <c r="B612" s="1" t="s">
        <v>1953</v>
      </c>
      <c r="C612" s="1" t="s">
        <v>1954</v>
      </c>
      <c r="D612" s="1" t="s">
        <v>2785</v>
      </c>
      <c r="E612" s="1" t="s">
        <v>2821</v>
      </c>
      <c r="F612" s="1" t="str">
        <f>"07656    "</f>
        <v xml:space="preserve">07656    </v>
      </c>
      <c r="G612" s="1" t="str">
        <f>"2013072177"</f>
        <v>2013072177</v>
      </c>
      <c r="H612" s="1" t="s">
        <v>2637</v>
      </c>
    </row>
    <row r="613" spans="1:8" x14ac:dyDescent="0.25">
      <c r="A613" s="1" t="str">
        <f>"733  "</f>
        <v xml:space="preserve">733  </v>
      </c>
      <c r="B613" s="1" t="s">
        <v>2986</v>
      </c>
      <c r="C613" s="1" t="s">
        <v>2987</v>
      </c>
      <c r="D613" s="1" t="s">
        <v>2988</v>
      </c>
      <c r="E613" s="1" t="s">
        <v>2989</v>
      </c>
      <c r="F613" s="1" t="str">
        <f>"83619    "</f>
        <v xml:space="preserve">83619    </v>
      </c>
      <c r="G613" s="1" t="str">
        <f>"2084527979"</f>
        <v>2084527979</v>
      </c>
      <c r="H613" s="1" t="s">
        <v>2735</v>
      </c>
    </row>
    <row r="614" spans="1:8" x14ac:dyDescent="0.25">
      <c r="A614" s="1" t="str">
        <f>"734  "</f>
        <v xml:space="preserve">734  </v>
      </c>
      <c r="B614" s="1" t="s">
        <v>2188</v>
      </c>
      <c r="C614" s="1" t="s">
        <v>2189</v>
      </c>
      <c r="D614" s="1" t="s">
        <v>2906</v>
      </c>
      <c r="E614" s="1" t="s">
        <v>2677</v>
      </c>
      <c r="F614" s="1" t="str">
        <f>"28224    "</f>
        <v xml:space="preserve">28224    </v>
      </c>
      <c r="G614" s="1" t="str">
        <f>"8888367764"</f>
        <v>8888367764</v>
      </c>
      <c r="H614" s="1" t="s">
        <v>2190</v>
      </c>
    </row>
    <row r="615" spans="1:8" x14ac:dyDescent="0.25">
      <c r="A615" s="1" t="str">
        <f>"735  "</f>
        <v xml:space="preserve">735  </v>
      </c>
      <c r="B615" s="1" t="s">
        <v>3132</v>
      </c>
      <c r="C615" s="1" t="s">
        <v>3133</v>
      </c>
      <c r="D615" s="1" t="s">
        <v>3134</v>
      </c>
      <c r="E615" s="1" t="s">
        <v>2970</v>
      </c>
      <c r="F615" s="1" t="str">
        <f>"38088    "</f>
        <v xml:space="preserve">38088    </v>
      </c>
      <c r="G615" s="1" t="str">
        <f>"9016858980"</f>
        <v>9016858980</v>
      </c>
      <c r="H615" s="1" t="s">
        <v>2637</v>
      </c>
    </row>
    <row r="616" spans="1:8" x14ac:dyDescent="0.25">
      <c r="A616" s="1" t="str">
        <f>"736  "</f>
        <v xml:space="preserve">736  </v>
      </c>
      <c r="B616" s="1" t="s">
        <v>2269</v>
      </c>
      <c r="C616" s="1" t="str">
        <f>"2811 LORD BALTIMORE DR.                           "</f>
        <v xml:space="preserve">2811 LORD BALTIMORE DR.                           </v>
      </c>
      <c r="D616" s="1" t="s">
        <v>2652</v>
      </c>
      <c r="E616" s="1" t="s">
        <v>2647</v>
      </c>
      <c r="F616" s="1" t="str">
        <f>"212442644"</f>
        <v>212442644</v>
      </c>
      <c r="G616" s="1" t="str">
        <f>"8006383120"</f>
        <v>8006383120</v>
      </c>
      <c r="H616" s="1" t="s">
        <v>2637</v>
      </c>
    </row>
    <row r="617" spans="1:8" x14ac:dyDescent="0.25">
      <c r="A617" s="1" t="str">
        <f>"737  "</f>
        <v xml:space="preserve">737  </v>
      </c>
      <c r="B617" s="1" t="s">
        <v>2053</v>
      </c>
      <c r="C617" s="1" t="s">
        <v>2054</v>
      </c>
      <c r="D617" s="1" t="s">
        <v>3289</v>
      </c>
      <c r="E617" s="1" t="s">
        <v>2697</v>
      </c>
      <c r="F617" s="1" t="str">
        <f>"17106    "</f>
        <v xml:space="preserve">17106    </v>
      </c>
      <c r="G617" s="1" t="str">
        <f>"8003320366"</f>
        <v>8003320366</v>
      </c>
      <c r="H617" s="1" t="s">
        <v>2637</v>
      </c>
    </row>
    <row r="618" spans="1:8" x14ac:dyDescent="0.25">
      <c r="A618" s="1" t="str">
        <f>"738  "</f>
        <v xml:space="preserve">738  </v>
      </c>
      <c r="B618" s="1" t="s">
        <v>2569</v>
      </c>
      <c r="C618" s="1" t="s">
        <v>2570</v>
      </c>
      <c r="D618" s="1" t="s">
        <v>2571</v>
      </c>
      <c r="E618" s="1" t="s">
        <v>2832</v>
      </c>
      <c r="F618" s="1" t="str">
        <f>"333329711"</f>
        <v>333329711</v>
      </c>
      <c r="G618" s="1" t="str">
        <f>"8037988698"</f>
        <v>8037988698</v>
      </c>
      <c r="H618" s="1" t="s">
        <v>2735</v>
      </c>
    </row>
    <row r="619" spans="1:8" x14ac:dyDescent="0.25">
      <c r="A619" s="1" t="str">
        <f>"739  "</f>
        <v xml:space="preserve">739  </v>
      </c>
      <c r="B619" s="1" t="s">
        <v>713</v>
      </c>
      <c r="C619" s="1" t="s">
        <v>714</v>
      </c>
      <c r="D619" s="1" t="s">
        <v>715</v>
      </c>
      <c r="E619" s="1" t="s">
        <v>2821</v>
      </c>
      <c r="F619" s="1" t="str">
        <f>"07078    "</f>
        <v xml:space="preserve">07078    </v>
      </c>
      <c r="G619" s="1" t="str">
        <f>"8662670092"</f>
        <v>8662670092</v>
      </c>
      <c r="H619" s="1" t="s">
        <v>2637</v>
      </c>
    </row>
    <row r="620" spans="1:8" x14ac:dyDescent="0.25">
      <c r="A620" s="1" t="str">
        <f>"740  "</f>
        <v xml:space="preserve">740  </v>
      </c>
      <c r="B620" s="1" t="s">
        <v>1583</v>
      </c>
      <c r="C620" s="1" t="s">
        <v>1584</v>
      </c>
      <c r="D620" s="1" t="s">
        <v>2808</v>
      </c>
      <c r="E620" s="1" t="s">
        <v>2809</v>
      </c>
      <c r="F620" s="1" t="str">
        <f>"850722196"</f>
        <v>850722196</v>
      </c>
      <c r="G620" s="1" t="str">
        <f>"8002376184"</f>
        <v>8002376184</v>
      </c>
      <c r="H620" s="1" t="s">
        <v>1585</v>
      </c>
    </row>
    <row r="621" spans="1:8" x14ac:dyDescent="0.25">
      <c r="A621" s="1" t="str">
        <f>"741  "</f>
        <v xml:space="preserve">741  </v>
      </c>
      <c r="B621" s="1" t="s">
        <v>205</v>
      </c>
      <c r="C621" s="1" t="str">
        <f>"1 S. LIMESTONE ST  STE 301                        "</f>
        <v xml:space="preserve">1 S. LIMESTONE ST  STE 301                        </v>
      </c>
      <c r="D621" s="1" t="s">
        <v>2397</v>
      </c>
      <c r="E621" s="1" t="s">
        <v>2714</v>
      </c>
      <c r="F621" s="1" t="str">
        <f>"45502    "</f>
        <v xml:space="preserve">45502    </v>
      </c>
      <c r="G621" s="1" t="str">
        <f>"8667669016"</f>
        <v>8667669016</v>
      </c>
      <c r="H621" s="1" t="s">
        <v>2688</v>
      </c>
    </row>
    <row r="622" spans="1:8" x14ac:dyDescent="0.25">
      <c r="A622" s="1" t="str">
        <f>"742  "</f>
        <v xml:space="preserve">742  </v>
      </c>
      <c r="B622" s="1" t="s">
        <v>1055</v>
      </c>
      <c r="C622" s="1" t="str">
        <f>"2000 TOWN CENTER, SUITE 2200                      "</f>
        <v xml:space="preserve">2000 TOWN CENTER, SUITE 2200                      </v>
      </c>
      <c r="D622" s="1" t="s">
        <v>1959</v>
      </c>
      <c r="E622" s="1" t="s">
        <v>2644</v>
      </c>
      <c r="F622" s="1" t="str">
        <f>"48075    "</f>
        <v xml:space="preserve">48075    </v>
      </c>
      <c r="G622" s="1" t="str">
        <f>"8009376432"</f>
        <v>8009376432</v>
      </c>
      <c r="H622" s="1" t="s">
        <v>2637</v>
      </c>
    </row>
    <row r="623" spans="1:8" x14ac:dyDescent="0.25">
      <c r="A623" s="1" t="str">
        <f>"743  "</f>
        <v xml:space="preserve">743  </v>
      </c>
      <c r="B623" s="1" t="s">
        <v>1474</v>
      </c>
      <c r="C623" s="1" t="s">
        <v>1475</v>
      </c>
      <c r="D623" s="1" t="s">
        <v>1476</v>
      </c>
      <c r="E623" s="1" t="s">
        <v>2706</v>
      </c>
      <c r="F623" s="1" t="str">
        <f>"468012362"</f>
        <v>468012362</v>
      </c>
      <c r="G623" s="1" t="str">
        <f>"2606257500"</f>
        <v>2606257500</v>
      </c>
      <c r="H623" s="1" t="s">
        <v>2637</v>
      </c>
    </row>
    <row r="624" spans="1:8" x14ac:dyDescent="0.25">
      <c r="A624" s="1" t="str">
        <f>"744  "</f>
        <v xml:space="preserve">744  </v>
      </c>
      <c r="B624" s="1" t="s">
        <v>2342</v>
      </c>
      <c r="C624" s="1" t="s">
        <v>2343</v>
      </c>
      <c r="D624" s="1" t="s">
        <v>2344</v>
      </c>
      <c r="E624" s="1" t="s">
        <v>2196</v>
      </c>
      <c r="F624" s="1" t="str">
        <f>"891145645"</f>
        <v>891145645</v>
      </c>
      <c r="G624" s="1" t="str">
        <f>"8009257455"</f>
        <v>8009257455</v>
      </c>
      <c r="H624" s="1" t="s">
        <v>2637</v>
      </c>
    </row>
    <row r="625" spans="1:8" x14ac:dyDescent="0.25">
      <c r="A625" s="1" t="str">
        <f>"745  "</f>
        <v xml:space="preserve">745  </v>
      </c>
      <c r="B625" s="1" t="s">
        <v>708</v>
      </c>
      <c r="C625" s="1" t="str">
        <f>"1312 BELLONE AVENUE                               "</f>
        <v xml:space="preserve">1312 BELLONE AVENUE                               </v>
      </c>
      <c r="D625" s="1" t="s">
        <v>709</v>
      </c>
      <c r="E625" s="1" t="s">
        <v>2647</v>
      </c>
      <c r="F625" s="1" t="str">
        <f>"21093    "</f>
        <v xml:space="preserve">21093    </v>
      </c>
      <c r="G625" s="1" t="str">
        <f>"8006386085"</f>
        <v>8006386085</v>
      </c>
      <c r="H625" s="1" t="s">
        <v>2637</v>
      </c>
    </row>
    <row r="626" spans="1:8" x14ac:dyDescent="0.25">
      <c r="A626" s="1" t="str">
        <f>"746  "</f>
        <v xml:space="preserve">746  </v>
      </c>
      <c r="B626" s="1" t="s">
        <v>399</v>
      </c>
      <c r="C626" s="1" t="s">
        <v>400</v>
      </c>
      <c r="D626" s="1" t="s">
        <v>401</v>
      </c>
      <c r="E626" s="1" t="s">
        <v>3118</v>
      </c>
      <c r="F626" s="1" t="str">
        <f>"02160    "</f>
        <v xml:space="preserve">02160    </v>
      </c>
      <c r="G626" s="1" t="str">
        <f>"8003479355"</f>
        <v>8003479355</v>
      </c>
      <c r="H626" s="1" t="s">
        <v>2637</v>
      </c>
    </row>
    <row r="627" spans="1:8" x14ac:dyDescent="0.25">
      <c r="A627" s="1" t="str">
        <f>"747  "</f>
        <v xml:space="preserve">747  </v>
      </c>
      <c r="B627" s="1" t="s">
        <v>994</v>
      </c>
      <c r="C627" s="1" t="s">
        <v>995</v>
      </c>
      <c r="D627" s="1" t="s">
        <v>2404</v>
      </c>
      <c r="E627" s="1" t="s">
        <v>2663</v>
      </c>
      <c r="F627" s="1" t="str">
        <f>"90630    "</f>
        <v xml:space="preserve">90630    </v>
      </c>
      <c r="G627" s="1" t="str">
        <f>"8663169776"</f>
        <v>8663169776</v>
      </c>
      <c r="H627" s="1" t="s">
        <v>2688</v>
      </c>
    </row>
    <row r="628" spans="1:8" x14ac:dyDescent="0.25">
      <c r="A628" s="1" t="str">
        <f>"748  "</f>
        <v xml:space="preserve">748  </v>
      </c>
      <c r="B628" s="1" t="s">
        <v>778</v>
      </c>
      <c r="C628" s="1" t="str">
        <f>"4530 PARK RD                                      "</f>
        <v xml:space="preserve">4530 PARK RD                                      </v>
      </c>
      <c r="D628" s="1" t="s">
        <v>2906</v>
      </c>
      <c r="E628" s="1" t="s">
        <v>2677</v>
      </c>
      <c r="F628" s="1" t="str">
        <f>"28209    "</f>
        <v xml:space="preserve">28209    </v>
      </c>
      <c r="G628" s="1" t="str">
        <f>"-         "</f>
        <v xml:space="preserve">-         </v>
      </c>
      <c r="H628" s="1" t="s">
        <v>2688</v>
      </c>
    </row>
    <row r="629" spans="1:8" x14ac:dyDescent="0.25">
      <c r="A629" s="1" t="str">
        <f>"749  "</f>
        <v xml:space="preserve">749  </v>
      </c>
      <c r="B629" s="1" t="s">
        <v>2641</v>
      </c>
      <c r="C629" s="1" t="s">
        <v>2642</v>
      </c>
      <c r="D629" s="1" t="s">
        <v>2643</v>
      </c>
      <c r="E629" s="1" t="s">
        <v>2644</v>
      </c>
      <c r="F629" s="1" t="str">
        <f>"49501    "</f>
        <v xml:space="preserve">49501    </v>
      </c>
      <c r="G629" s="1" t="str">
        <f>"8002533074"</f>
        <v>8002533074</v>
      </c>
      <c r="H629" s="1" t="s">
        <v>2637</v>
      </c>
    </row>
    <row r="630" spans="1:8" x14ac:dyDescent="0.25">
      <c r="A630" s="1" t="str">
        <f>"750  "</f>
        <v xml:space="preserve">750  </v>
      </c>
      <c r="B630" s="1" t="s">
        <v>1871</v>
      </c>
      <c r="C630" s="1" t="s">
        <v>1872</v>
      </c>
      <c r="D630" s="1" t="s">
        <v>2016</v>
      </c>
      <c r="E630" s="1" t="s">
        <v>2786</v>
      </c>
      <c r="F630" s="1" t="str">
        <f>"61110    "</f>
        <v xml:space="preserve">61110    </v>
      </c>
      <c r="G630" s="1" t="str">
        <f>"8159699663"</f>
        <v>8159699663</v>
      </c>
      <c r="H630" s="1" t="s">
        <v>2637</v>
      </c>
    </row>
    <row r="631" spans="1:8" x14ac:dyDescent="0.25">
      <c r="A631" s="1" t="str">
        <f>"751  "</f>
        <v xml:space="preserve">751  </v>
      </c>
      <c r="B631" s="1" t="s">
        <v>2380</v>
      </c>
      <c r="C631" s="1" t="s">
        <v>682</v>
      </c>
      <c r="D631" s="1" t="s">
        <v>110</v>
      </c>
      <c r="E631" s="1" t="s">
        <v>2714</v>
      </c>
      <c r="F631" s="1" t="str">
        <f>"43086-   "</f>
        <v xml:space="preserve">43086-   </v>
      </c>
      <c r="G631" s="1" t="str">
        <f>"8002340225"</f>
        <v>8002340225</v>
      </c>
      <c r="H631" s="1" t="s">
        <v>2637</v>
      </c>
    </row>
    <row r="632" spans="1:8" x14ac:dyDescent="0.25">
      <c r="A632" s="1" t="str">
        <f>"752  "</f>
        <v xml:space="preserve">752  </v>
      </c>
      <c r="B632" s="1" t="s">
        <v>1058</v>
      </c>
      <c r="C632" s="1" t="str">
        <f>"15500 NEW BARN ROAD                               "</f>
        <v xml:space="preserve">15500 NEW BARN ROAD                               </v>
      </c>
      <c r="D632" s="1" t="s">
        <v>1059</v>
      </c>
      <c r="E632" s="1" t="s">
        <v>2832</v>
      </c>
      <c r="F632" s="1" t="str">
        <f>"33014    "</f>
        <v xml:space="preserve">33014    </v>
      </c>
      <c r="G632" s="1" t="str">
        <f>"8005912650"</f>
        <v>8005912650</v>
      </c>
      <c r="H632" s="1" t="s">
        <v>2688</v>
      </c>
    </row>
    <row r="633" spans="1:8" x14ac:dyDescent="0.25">
      <c r="A633" s="1" t="str">
        <f>"753  "</f>
        <v xml:space="preserve">753  </v>
      </c>
      <c r="B633" s="1" t="s">
        <v>3201</v>
      </c>
      <c r="C633" s="1" t="s">
        <v>3202</v>
      </c>
      <c r="D633" s="1" t="s">
        <v>3203</v>
      </c>
      <c r="E633" s="1" t="s">
        <v>2681</v>
      </c>
      <c r="F633" s="1" t="str">
        <f>"309032226"</f>
        <v>309032226</v>
      </c>
      <c r="G633" s="1" t="str">
        <f>"9009778221"</f>
        <v>9009778221</v>
      </c>
      <c r="H633" s="1" t="s">
        <v>2637</v>
      </c>
    </row>
    <row r="634" spans="1:8" x14ac:dyDescent="0.25">
      <c r="A634" s="1" t="str">
        <f>"754  "</f>
        <v xml:space="preserve">754  </v>
      </c>
      <c r="B634" s="1" t="str">
        <f>"1199 SEIU NATIONAL BENEFIT FUND                   "</f>
        <v xml:space="preserve">1199 SEIU NATIONAL BENEFIT FUND                   </v>
      </c>
      <c r="C634" s="1" t="s">
        <v>311</v>
      </c>
      <c r="D634" s="1" t="s">
        <v>2772</v>
      </c>
      <c r="E634" s="1" t="s">
        <v>2773</v>
      </c>
      <c r="F634" s="1" t="str">
        <f>"101081007"</f>
        <v>101081007</v>
      </c>
      <c r="G634" s="1" t="str">
        <f>"6464739200"</f>
        <v>6464739200</v>
      </c>
      <c r="H634" s="1" t="s">
        <v>2637</v>
      </c>
    </row>
    <row r="635" spans="1:8" x14ac:dyDescent="0.25">
      <c r="A635" s="1" t="str">
        <f>"755  "</f>
        <v xml:space="preserve">755  </v>
      </c>
      <c r="B635" s="1" t="s">
        <v>1371</v>
      </c>
      <c r="C635" s="1" t="s">
        <v>1372</v>
      </c>
      <c r="D635" s="1" t="s">
        <v>1373</v>
      </c>
      <c r="E635" s="1" t="s">
        <v>2731</v>
      </c>
      <c r="F635" s="1" t="str">
        <f>"70190    "</f>
        <v xml:space="preserve">70190    </v>
      </c>
      <c r="G635" s="1" t="str">
        <f>"800596 315"</f>
        <v>800596 315</v>
      </c>
      <c r="H635" s="1" t="s">
        <v>2637</v>
      </c>
    </row>
    <row r="636" spans="1:8" x14ac:dyDescent="0.25">
      <c r="A636" s="1" t="str">
        <f>"756  "</f>
        <v xml:space="preserve">756  </v>
      </c>
      <c r="B636" s="1" t="s">
        <v>2935</v>
      </c>
      <c r="C636" s="1" t="s">
        <v>2936</v>
      </c>
      <c r="D636" s="1" t="s">
        <v>2937</v>
      </c>
      <c r="E636" s="1" t="s">
        <v>2731</v>
      </c>
      <c r="F636" s="1" t="str">
        <f>"711719944"</f>
        <v>711719944</v>
      </c>
      <c r="G636" s="1" t="str">
        <f>"8007429944"</f>
        <v>8007429944</v>
      </c>
      <c r="H636" s="1" t="s">
        <v>2637</v>
      </c>
    </row>
    <row r="637" spans="1:8" x14ac:dyDescent="0.25">
      <c r="A637" s="1" t="str">
        <f>"757  "</f>
        <v xml:space="preserve">757  </v>
      </c>
      <c r="B637" s="1" t="s">
        <v>2510</v>
      </c>
      <c r="C637" s="1" t="s">
        <v>2511</v>
      </c>
      <c r="D637" s="1" t="s">
        <v>2074</v>
      </c>
      <c r="E637" s="1" t="s">
        <v>2636</v>
      </c>
      <c r="F637" s="1" t="str">
        <f>"750860909"</f>
        <v>750860909</v>
      </c>
      <c r="G637" s="1" t="str">
        <f>"9728816000"</f>
        <v>9728816000</v>
      </c>
      <c r="H637" s="1" t="s">
        <v>2637</v>
      </c>
    </row>
    <row r="638" spans="1:8" x14ac:dyDescent="0.25">
      <c r="A638" s="1" t="str">
        <f>"758  "</f>
        <v xml:space="preserve">758  </v>
      </c>
      <c r="B638" s="1" t="s">
        <v>1477</v>
      </c>
      <c r="C638" s="1" t="s">
        <v>1478</v>
      </c>
      <c r="D638" s="1" t="s">
        <v>1479</v>
      </c>
      <c r="E638" s="1" t="s">
        <v>2885</v>
      </c>
      <c r="F638" s="1" t="str">
        <f>"731270870"</f>
        <v>731270870</v>
      </c>
      <c r="G638" s="1" t="str">
        <f>"8004892974"</f>
        <v>8004892974</v>
      </c>
      <c r="H638" s="1" t="s">
        <v>2688</v>
      </c>
    </row>
    <row r="639" spans="1:8" x14ac:dyDescent="0.25">
      <c r="A639" s="1" t="str">
        <f>"759  "</f>
        <v xml:space="preserve">759  </v>
      </c>
      <c r="B639" s="1" t="s">
        <v>922</v>
      </c>
      <c r="C639" s="1" t="s">
        <v>800</v>
      </c>
      <c r="D639" s="1" t="s">
        <v>2442</v>
      </c>
      <c r="E639" s="1" t="s">
        <v>3264</v>
      </c>
      <c r="F639" s="1" t="str">
        <f>"50309    "</f>
        <v xml:space="preserve">50309    </v>
      </c>
      <c r="G639" s="1" t="str">
        <f>"8002472192"</f>
        <v>8002472192</v>
      </c>
      <c r="H639" s="1" t="s">
        <v>923</v>
      </c>
    </row>
    <row r="640" spans="1:8" x14ac:dyDescent="0.25">
      <c r="A640" s="1" t="str">
        <f>"760  "</f>
        <v xml:space="preserve">760  </v>
      </c>
      <c r="B640" s="1" t="s">
        <v>1445</v>
      </c>
      <c r="C640" s="1" t="s">
        <v>1446</v>
      </c>
      <c r="D640" s="1" t="s">
        <v>2705</v>
      </c>
      <c r="E640" s="1" t="s">
        <v>2706</v>
      </c>
      <c r="F640" s="1" t="str">
        <f>"46205    "</f>
        <v xml:space="preserve">46205    </v>
      </c>
      <c r="G640" s="1" t="str">
        <f>"8003314757"</f>
        <v>8003314757</v>
      </c>
      <c r="H640" s="1" t="s">
        <v>2637</v>
      </c>
    </row>
    <row r="641" spans="1:8" x14ac:dyDescent="0.25">
      <c r="A641" s="1" t="str">
        <f>"761  "</f>
        <v xml:space="preserve">761  </v>
      </c>
      <c r="B641" s="1" t="s">
        <v>967</v>
      </c>
      <c r="C641" s="1" t="str">
        <f>"229 EAST MICHIGAN AVE. STE. 235                   "</f>
        <v xml:space="preserve">229 EAST MICHIGAN AVE. STE. 235                   </v>
      </c>
      <c r="D641" s="1" t="s">
        <v>3173</v>
      </c>
      <c r="E641" s="1" t="s">
        <v>2644</v>
      </c>
      <c r="F641" s="1" t="str">
        <f>"49007    "</f>
        <v xml:space="preserve">49007    </v>
      </c>
      <c r="G641" s="1" t="str">
        <f>"8003257477"</f>
        <v>8003257477</v>
      </c>
      <c r="H641" s="1" t="s">
        <v>2637</v>
      </c>
    </row>
    <row r="642" spans="1:8" x14ac:dyDescent="0.25">
      <c r="A642" s="1" t="str">
        <f>"762  "</f>
        <v xml:space="preserve">762  </v>
      </c>
      <c r="B642" s="1" t="s">
        <v>3072</v>
      </c>
      <c r="C642" s="1" t="s">
        <v>3073</v>
      </c>
      <c r="D642" s="1" t="s">
        <v>3074</v>
      </c>
      <c r="E642" s="1" t="s">
        <v>2832</v>
      </c>
      <c r="F642" s="1" t="str">
        <f>"337578850"</f>
        <v>337578850</v>
      </c>
      <c r="G642" s="1" t="str">
        <f>"8778158857"</f>
        <v>8778158857</v>
      </c>
      <c r="H642" s="1" t="s">
        <v>2688</v>
      </c>
    </row>
    <row r="643" spans="1:8" x14ac:dyDescent="0.25">
      <c r="A643" s="1" t="str">
        <f>"763  "</f>
        <v xml:space="preserve">763  </v>
      </c>
      <c r="B643" s="1" t="s">
        <v>1546</v>
      </c>
      <c r="C643" s="1" t="s">
        <v>1547</v>
      </c>
      <c r="D643" s="1" t="s">
        <v>2981</v>
      </c>
      <c r="E643" s="1" t="s">
        <v>2832</v>
      </c>
      <c r="F643" s="1" t="str">
        <f>"33631    "</f>
        <v xml:space="preserve">33631    </v>
      </c>
      <c r="G643" s="1" t="str">
        <f>"8005257268"</f>
        <v>8005257268</v>
      </c>
      <c r="H643" s="1" t="s">
        <v>2637</v>
      </c>
    </row>
    <row r="644" spans="1:8" x14ac:dyDescent="0.25">
      <c r="A644" s="1" t="str">
        <f>"764  "</f>
        <v xml:space="preserve">764  </v>
      </c>
      <c r="B644" s="1" t="s">
        <v>457</v>
      </c>
      <c r="C644" s="1" t="s">
        <v>458</v>
      </c>
      <c r="D644" s="1" t="s">
        <v>2791</v>
      </c>
      <c r="E644" s="1" t="s">
        <v>2744</v>
      </c>
      <c r="F644" s="1" t="str">
        <f>"407427373"</f>
        <v>407427373</v>
      </c>
      <c r="G644" s="1" t="str">
        <f>"8003482922"</f>
        <v>8003482922</v>
      </c>
      <c r="H644" s="1" t="s">
        <v>2637</v>
      </c>
    </row>
    <row r="645" spans="1:8" x14ac:dyDescent="0.25">
      <c r="A645" s="1" t="str">
        <f>"765  "</f>
        <v xml:space="preserve">765  </v>
      </c>
      <c r="B645" s="1" t="s">
        <v>507</v>
      </c>
      <c r="C645" s="1" t="s">
        <v>508</v>
      </c>
      <c r="D645" s="1" t="s">
        <v>2981</v>
      </c>
      <c r="E645" s="1" t="s">
        <v>2832</v>
      </c>
      <c r="F645" s="1" t="str">
        <f>"33684    "</f>
        <v xml:space="preserve">33684    </v>
      </c>
      <c r="G645" s="1" t="str">
        <f>"8004012740"</f>
        <v>8004012740</v>
      </c>
      <c r="H645" s="1" t="s">
        <v>2760</v>
      </c>
    </row>
    <row r="646" spans="1:8" x14ac:dyDescent="0.25">
      <c r="A646" s="1" t="str">
        <f>"766  "</f>
        <v xml:space="preserve">766  </v>
      </c>
      <c r="B646" s="1" t="s">
        <v>2606</v>
      </c>
      <c r="C646" s="1" t="s">
        <v>2607</v>
      </c>
      <c r="D646" s="1" t="s">
        <v>2680</v>
      </c>
      <c r="E646" s="1" t="s">
        <v>2681</v>
      </c>
      <c r="F646" s="1" t="str">
        <f>"31402    "</f>
        <v xml:space="preserve">31402    </v>
      </c>
      <c r="G646" s="1" t="str">
        <f>"9122346621"</f>
        <v>9122346621</v>
      </c>
      <c r="H646" s="1" t="s">
        <v>2637</v>
      </c>
    </row>
    <row r="647" spans="1:8" x14ac:dyDescent="0.25">
      <c r="A647" s="1" t="str">
        <f>"767  "</f>
        <v xml:space="preserve">767  </v>
      </c>
      <c r="B647" s="1" t="s">
        <v>1836</v>
      </c>
      <c r="C647" s="1" t="s">
        <v>127</v>
      </c>
      <c r="D647" s="1" t="s">
        <v>2871</v>
      </c>
      <c r="E647" s="1" t="s">
        <v>2636</v>
      </c>
      <c r="F647" s="1" t="str">
        <f>"752619055"</f>
        <v>752619055</v>
      </c>
      <c r="G647" s="1" t="str">
        <f>"8006006212"</f>
        <v>8006006212</v>
      </c>
      <c r="H647" s="1" t="s">
        <v>2760</v>
      </c>
    </row>
    <row r="648" spans="1:8" x14ac:dyDescent="0.25">
      <c r="A648" s="1" t="str">
        <f>"768  "</f>
        <v xml:space="preserve">768  </v>
      </c>
      <c r="B648" s="1" t="s">
        <v>981</v>
      </c>
      <c r="C648" s="1" t="str">
        <f>"1717 WEST BROADWAY STREET                         "</f>
        <v xml:space="preserve">1717 WEST BROADWAY STREET                         </v>
      </c>
      <c r="D648" s="1" t="s">
        <v>2939</v>
      </c>
      <c r="E648" s="1" t="s">
        <v>2667</v>
      </c>
      <c r="F648" s="1" t="str">
        <f>"53708    "</f>
        <v xml:space="preserve">53708    </v>
      </c>
      <c r="G648" s="1" t="str">
        <f>"8889154158"</f>
        <v>8889154158</v>
      </c>
      <c r="H648" s="1" t="s">
        <v>2637</v>
      </c>
    </row>
    <row r="649" spans="1:8" x14ac:dyDescent="0.25">
      <c r="A649" s="1" t="str">
        <f>"769  "</f>
        <v xml:space="preserve">769  </v>
      </c>
      <c r="B649" s="1" t="s">
        <v>1236</v>
      </c>
      <c r="C649" s="1" t="s">
        <v>1237</v>
      </c>
      <c r="D649" s="1" t="s">
        <v>1238</v>
      </c>
      <c r="E649" s="1" t="s">
        <v>2944</v>
      </c>
      <c r="F649" s="1" t="str">
        <f>"72602    "</f>
        <v xml:space="preserve">72602    </v>
      </c>
      <c r="G649" s="1" t="str">
        <f>"8008744723"</f>
        <v>8008744723</v>
      </c>
      <c r="H649" s="1" t="s">
        <v>2637</v>
      </c>
    </row>
    <row r="650" spans="1:8" x14ac:dyDescent="0.25">
      <c r="A650" s="1" t="str">
        <f>"770  "</f>
        <v xml:space="preserve">770  </v>
      </c>
      <c r="B650" s="1" t="s">
        <v>138</v>
      </c>
      <c r="C650" s="1" t="s">
        <v>139</v>
      </c>
      <c r="D650" s="1" t="s">
        <v>140</v>
      </c>
      <c r="E650" s="1" t="s">
        <v>2697</v>
      </c>
      <c r="F650" s="1" t="str">
        <f>"19493    "</f>
        <v xml:space="preserve">19493    </v>
      </c>
      <c r="G650" s="1" t="str">
        <f>"8005237900"</f>
        <v>8005237900</v>
      </c>
      <c r="H650" s="1" t="s">
        <v>2637</v>
      </c>
    </row>
    <row r="651" spans="1:8" x14ac:dyDescent="0.25">
      <c r="A651" s="1" t="str">
        <f>"771  "</f>
        <v xml:space="preserve">771  </v>
      </c>
      <c r="B651" s="1" t="s">
        <v>1867</v>
      </c>
      <c r="C651" s="1" t="s">
        <v>1868</v>
      </c>
      <c r="D651" s="1" t="s">
        <v>1869</v>
      </c>
      <c r="E651" s="1" t="s">
        <v>2636</v>
      </c>
      <c r="F651" s="1" t="str">
        <f>"761828009"</f>
        <v>761828009</v>
      </c>
      <c r="G651" s="1" t="str">
        <f>"8176566040"</f>
        <v>8176566040</v>
      </c>
      <c r="H651" s="1" t="s">
        <v>1870</v>
      </c>
    </row>
    <row r="652" spans="1:8" x14ac:dyDescent="0.25">
      <c r="A652" s="1" t="str">
        <f>"772  "</f>
        <v xml:space="preserve">772  </v>
      </c>
      <c r="B652" s="1" t="s">
        <v>3189</v>
      </c>
      <c r="C652" s="1" t="s">
        <v>3190</v>
      </c>
      <c r="D652" s="1" t="s">
        <v>2705</v>
      </c>
      <c r="E652" s="1" t="s">
        <v>2706</v>
      </c>
      <c r="F652" s="1" t="str">
        <f>"462066001"</f>
        <v>462066001</v>
      </c>
      <c r="G652" s="1" t="str">
        <f>"8008243216"</f>
        <v>8008243216</v>
      </c>
      <c r="H652" s="1" t="s">
        <v>2637</v>
      </c>
    </row>
    <row r="653" spans="1:8" x14ac:dyDescent="0.25">
      <c r="A653" s="1" t="str">
        <f>"773  "</f>
        <v xml:space="preserve">773  </v>
      </c>
      <c r="B653" s="1" t="s">
        <v>406</v>
      </c>
      <c r="C653" s="1" t="s">
        <v>407</v>
      </c>
      <c r="D653" s="1" t="s">
        <v>2891</v>
      </c>
      <c r="E653" s="1" t="s">
        <v>2862</v>
      </c>
      <c r="F653" s="1" t="str">
        <f>"681032018"</f>
        <v>681032018</v>
      </c>
      <c r="G653" s="1" t="str">
        <f>"8002289100"</f>
        <v>8002289100</v>
      </c>
      <c r="H653" s="1" t="s">
        <v>408</v>
      </c>
    </row>
    <row r="654" spans="1:8" x14ac:dyDescent="0.25">
      <c r="A654" s="1" t="str">
        <f>"774  "</f>
        <v xml:space="preserve">774  </v>
      </c>
      <c r="B654" s="1" t="s">
        <v>1923</v>
      </c>
      <c r="C654" s="1" t="s">
        <v>1924</v>
      </c>
      <c r="D654" s="1" t="s">
        <v>1925</v>
      </c>
      <c r="E654" s="1" t="s">
        <v>2663</v>
      </c>
      <c r="F654" s="1" t="str">
        <f>"90801    "</f>
        <v xml:space="preserve">90801    </v>
      </c>
      <c r="G654" s="1" t="str">
        <f>"8006651328"</f>
        <v>8006651328</v>
      </c>
      <c r="H654" s="1" t="s">
        <v>2795</v>
      </c>
    </row>
    <row r="655" spans="1:8" x14ac:dyDescent="0.25">
      <c r="A655" s="1" t="str">
        <f>"775  "</f>
        <v xml:space="preserve">775  </v>
      </c>
      <c r="B655" s="1" t="s">
        <v>2496</v>
      </c>
      <c r="C655" s="1" t="s">
        <v>2497</v>
      </c>
      <c r="D655" s="1" t="s">
        <v>2498</v>
      </c>
      <c r="E655" s="1" t="s">
        <v>2667</v>
      </c>
      <c r="F655" s="1" t="str">
        <f>"535120658"</f>
        <v>535120658</v>
      </c>
      <c r="G655" s="1" t="str">
        <f>"8003035770"</f>
        <v>8003035770</v>
      </c>
      <c r="H655" s="1" t="s">
        <v>2637</v>
      </c>
    </row>
    <row r="656" spans="1:8" x14ac:dyDescent="0.25">
      <c r="A656" s="1" t="str">
        <f>"776  "</f>
        <v xml:space="preserve">776  </v>
      </c>
      <c r="B656" s="1" t="s">
        <v>694</v>
      </c>
      <c r="C656" s="1" t="str">
        <f>"1 S. LIMESTONE ST STE. 301                        "</f>
        <v xml:space="preserve">1 S. LIMESTONE ST STE. 301                        </v>
      </c>
      <c r="D656" s="1" t="s">
        <v>2397</v>
      </c>
      <c r="E656" s="1" t="s">
        <v>2714</v>
      </c>
      <c r="F656" s="1" t="str">
        <f>"45502    "</f>
        <v xml:space="preserve">45502    </v>
      </c>
      <c r="G656" s="1" t="str">
        <f>"8667669016"</f>
        <v>8667669016</v>
      </c>
      <c r="H656" s="1" t="s">
        <v>2735</v>
      </c>
    </row>
    <row r="657" spans="1:8" x14ac:dyDescent="0.25">
      <c r="A657" s="1" t="str">
        <f>"777  "</f>
        <v xml:space="preserve">777  </v>
      </c>
      <c r="B657" s="1" t="s">
        <v>169</v>
      </c>
      <c r="C657" s="1" t="s">
        <v>170</v>
      </c>
      <c r="D657" s="1" t="s">
        <v>171</v>
      </c>
      <c r="E657" s="1" t="s">
        <v>2644</v>
      </c>
      <c r="F657" s="1" t="str">
        <f>"482370504"</f>
        <v>482370504</v>
      </c>
      <c r="G657" s="1" t="str">
        <f>"8002259674"</f>
        <v>8002259674</v>
      </c>
      <c r="H657" s="1" t="s">
        <v>1101</v>
      </c>
    </row>
    <row r="658" spans="1:8" x14ac:dyDescent="0.25">
      <c r="A658" s="1" t="str">
        <f>"778  "</f>
        <v xml:space="preserve">778  </v>
      </c>
      <c r="B658" s="1" t="s">
        <v>1424</v>
      </c>
      <c r="C658" s="1" t="s">
        <v>1753</v>
      </c>
      <c r="D658" s="1" t="s">
        <v>3278</v>
      </c>
      <c r="E658" s="1" t="s">
        <v>2970</v>
      </c>
      <c r="F658" s="1" t="str">
        <f>"37024    "</f>
        <v xml:space="preserve">37024    </v>
      </c>
      <c r="G658" s="1" t="str">
        <f>"6153771300"</f>
        <v>6153771300</v>
      </c>
      <c r="H658" s="1" t="s">
        <v>2688</v>
      </c>
    </row>
    <row r="659" spans="1:8" x14ac:dyDescent="0.25">
      <c r="A659" s="1" t="str">
        <f>"779  "</f>
        <v xml:space="preserve">779  </v>
      </c>
      <c r="B659" s="1" t="s">
        <v>2434</v>
      </c>
      <c r="C659" s="1" t="s">
        <v>2435</v>
      </c>
      <c r="D659" s="1" t="s">
        <v>2024</v>
      </c>
      <c r="E659" s="1" t="s">
        <v>2636</v>
      </c>
      <c r="F659" s="1" t="str">
        <f>"760999706"</f>
        <v>760999706</v>
      </c>
      <c r="G659" s="1" t="str">
        <f>"8663932872"</f>
        <v>8663932872</v>
      </c>
      <c r="H659" s="1" t="s">
        <v>2240</v>
      </c>
    </row>
    <row r="660" spans="1:8" x14ac:dyDescent="0.25">
      <c r="A660" s="1" t="str">
        <f>"780  "</f>
        <v xml:space="preserve">780  </v>
      </c>
      <c r="B660" s="1" t="s">
        <v>1009</v>
      </c>
      <c r="C660" s="1" t="s">
        <v>1010</v>
      </c>
      <c r="D660" s="1" t="s">
        <v>1011</v>
      </c>
      <c r="E660" s="1" t="s">
        <v>2970</v>
      </c>
      <c r="F660" s="1" t="str">
        <f>"376024985"</f>
        <v>376024985</v>
      </c>
      <c r="G660" s="1" t="str">
        <f>"8002752847"</f>
        <v>8002752847</v>
      </c>
      <c r="H660" s="1" t="s">
        <v>2637</v>
      </c>
    </row>
    <row r="661" spans="1:8" x14ac:dyDescent="0.25">
      <c r="A661" s="1" t="str">
        <f>"781  "</f>
        <v xml:space="preserve">781  </v>
      </c>
      <c r="B661" s="1" t="s">
        <v>2156</v>
      </c>
      <c r="C661" s="1" t="s">
        <v>2157</v>
      </c>
      <c r="D661" s="1" t="s">
        <v>2906</v>
      </c>
      <c r="E661" s="1" t="s">
        <v>2677</v>
      </c>
      <c r="F661" s="1" t="str">
        <f>"282202995"</f>
        <v>282202995</v>
      </c>
      <c r="G661" s="1" t="str">
        <f>"8003340609"</f>
        <v>8003340609</v>
      </c>
      <c r="H661" s="1" t="s">
        <v>2637</v>
      </c>
    </row>
    <row r="662" spans="1:8" x14ac:dyDescent="0.25">
      <c r="A662" s="1" t="str">
        <f>"782  "</f>
        <v xml:space="preserve">782  </v>
      </c>
      <c r="B662" s="1" t="s">
        <v>881</v>
      </c>
      <c r="C662" s="1" t="s">
        <v>882</v>
      </c>
      <c r="D662" s="1" t="s">
        <v>2871</v>
      </c>
      <c r="E662" s="1" t="s">
        <v>2636</v>
      </c>
      <c r="F662" s="1" t="str">
        <f>"753542077"</f>
        <v>753542077</v>
      </c>
      <c r="G662" s="1" t="str">
        <f>"8009372036"</f>
        <v>8009372036</v>
      </c>
      <c r="H662" s="1" t="s">
        <v>2637</v>
      </c>
    </row>
    <row r="663" spans="1:8" x14ac:dyDescent="0.25">
      <c r="A663" s="1" t="str">
        <f>"784  "</f>
        <v xml:space="preserve">784  </v>
      </c>
      <c r="B663" s="1" t="s">
        <v>928</v>
      </c>
      <c r="C663" s="1" t="s">
        <v>929</v>
      </c>
      <c r="D663" s="1" t="s">
        <v>3257</v>
      </c>
      <c r="E663" s="1" t="s">
        <v>2832</v>
      </c>
      <c r="F663" s="1" t="str">
        <f>"328620123"</f>
        <v>328620123</v>
      </c>
      <c r="G663" s="1" t="str">
        <f>"8007766070"</f>
        <v>8007766070</v>
      </c>
      <c r="H663" s="1" t="s">
        <v>2688</v>
      </c>
    </row>
    <row r="664" spans="1:8" x14ac:dyDescent="0.25">
      <c r="A664" s="1" t="str">
        <f>"785  "</f>
        <v xml:space="preserve">785  </v>
      </c>
      <c r="B664" s="1" t="s">
        <v>2158</v>
      </c>
      <c r="C664" s="1" t="s">
        <v>2159</v>
      </c>
      <c r="D664" s="1" t="s">
        <v>2160</v>
      </c>
      <c r="E664" s="1" t="s">
        <v>2832</v>
      </c>
      <c r="F664" s="1" t="str">
        <f>"327950856"</f>
        <v>327950856</v>
      </c>
      <c r="G664" s="1" t="str">
        <f>"8002530856"</f>
        <v>8002530856</v>
      </c>
      <c r="H664" s="1" t="s">
        <v>2688</v>
      </c>
    </row>
    <row r="665" spans="1:8" x14ac:dyDescent="0.25">
      <c r="A665" s="1" t="str">
        <f>"786  "</f>
        <v xml:space="preserve">786  </v>
      </c>
      <c r="B665" s="1" t="s">
        <v>1035</v>
      </c>
      <c r="C665" s="1" t="s">
        <v>1036</v>
      </c>
      <c r="D665" s="1" t="s">
        <v>2036</v>
      </c>
      <c r="E665" s="1" t="s">
        <v>2677</v>
      </c>
      <c r="F665" s="1" t="str">
        <f>"271022000"</f>
        <v>271022000</v>
      </c>
      <c r="G665" s="1" t="str">
        <f>"8008495370"</f>
        <v>8008495370</v>
      </c>
      <c r="H665" s="1" t="s">
        <v>2760</v>
      </c>
    </row>
    <row r="666" spans="1:8" x14ac:dyDescent="0.25">
      <c r="A666" s="1" t="str">
        <f>"787  "</f>
        <v xml:space="preserve">787  </v>
      </c>
      <c r="B666" s="1" t="s">
        <v>2402</v>
      </c>
      <c r="C666" s="1" t="s">
        <v>2403</v>
      </c>
      <c r="D666" s="1" t="s">
        <v>2404</v>
      </c>
      <c r="E666" s="1" t="s">
        <v>2663</v>
      </c>
      <c r="F666" s="1" t="str">
        <f>"906300072"</f>
        <v>906300072</v>
      </c>
      <c r="G666" s="1" t="str">
        <f>"8008513802"</f>
        <v>8008513802</v>
      </c>
      <c r="H666" s="1" t="s">
        <v>2637</v>
      </c>
    </row>
    <row r="667" spans="1:8" x14ac:dyDescent="0.25">
      <c r="A667" s="1" t="str">
        <f>"788  "</f>
        <v xml:space="preserve">788  </v>
      </c>
      <c r="B667" s="1" t="s">
        <v>1685</v>
      </c>
      <c r="C667" s="1" t="s">
        <v>1686</v>
      </c>
      <c r="D667" s="1" t="s">
        <v>2083</v>
      </c>
      <c r="E667" s="1" t="s">
        <v>2697</v>
      </c>
      <c r="F667" s="1" t="str">
        <f>"185040097"</f>
        <v>185040097</v>
      </c>
      <c r="G667" s="1" t="str">
        <f>"8008203372"</f>
        <v>8008203372</v>
      </c>
      <c r="H667" s="1" t="s">
        <v>2688</v>
      </c>
    </row>
    <row r="668" spans="1:8" x14ac:dyDescent="0.25">
      <c r="A668" s="1" t="str">
        <f>"789  "</f>
        <v xml:space="preserve">789  </v>
      </c>
      <c r="B668" s="1" t="s">
        <v>1548</v>
      </c>
      <c r="C668" s="1" t="s">
        <v>1549</v>
      </c>
      <c r="D668" s="1" t="s">
        <v>3085</v>
      </c>
      <c r="E668" s="1" t="s">
        <v>3086</v>
      </c>
      <c r="F668" s="1" t="str">
        <f>"35238    "</f>
        <v xml:space="preserve">35238    </v>
      </c>
      <c r="G668" s="1" t="str">
        <f>"8007347826"</f>
        <v>8007347826</v>
      </c>
      <c r="H668" s="1" t="s">
        <v>2735</v>
      </c>
    </row>
    <row r="669" spans="1:8" x14ac:dyDescent="0.25">
      <c r="A669" s="1" t="str">
        <f>"790  "</f>
        <v xml:space="preserve">790  </v>
      </c>
      <c r="B669" s="1" t="s">
        <v>2998</v>
      </c>
      <c r="C669" s="1" t="s">
        <v>2999</v>
      </c>
      <c r="D669" s="1" t="s">
        <v>2791</v>
      </c>
      <c r="E669" s="1" t="s">
        <v>2744</v>
      </c>
      <c r="F669" s="1" t="str">
        <f>"40742    "</f>
        <v xml:space="preserve">40742    </v>
      </c>
      <c r="G669" s="1" t="str">
        <f>"8007527242"</f>
        <v>8007527242</v>
      </c>
      <c r="H669" s="1" t="s">
        <v>2637</v>
      </c>
    </row>
    <row r="670" spans="1:8" x14ac:dyDescent="0.25">
      <c r="A670" s="1" t="str">
        <f>"791  "</f>
        <v xml:space="preserve">791  </v>
      </c>
      <c r="B670" s="1" t="s">
        <v>1666</v>
      </c>
      <c r="C670" s="1" t="s">
        <v>1667</v>
      </c>
      <c r="D670" s="1" t="s">
        <v>2673</v>
      </c>
      <c r="E670" s="1" t="s">
        <v>2674</v>
      </c>
      <c r="F670" s="1" t="str">
        <f>"841300786"</f>
        <v>841300786</v>
      </c>
      <c r="G670" s="1" t="str">
        <f>"8665968447"</f>
        <v>8665968447</v>
      </c>
      <c r="H670" s="1" t="s">
        <v>2637</v>
      </c>
    </row>
    <row r="671" spans="1:8" x14ac:dyDescent="0.25">
      <c r="A671" s="1" t="str">
        <f>"792  "</f>
        <v xml:space="preserve">792  </v>
      </c>
      <c r="B671" s="1" t="s">
        <v>1028</v>
      </c>
      <c r="C671" s="1" t="s">
        <v>1029</v>
      </c>
      <c r="D671" s="1" t="s">
        <v>2016</v>
      </c>
      <c r="E671" s="1" t="s">
        <v>2786</v>
      </c>
      <c r="F671" s="1" t="str">
        <f>"611051250"</f>
        <v>611051250</v>
      </c>
      <c r="G671" s="1" t="str">
        <f>"8159875000"</f>
        <v>8159875000</v>
      </c>
      <c r="H671" s="1" t="s">
        <v>2017</v>
      </c>
    </row>
    <row r="672" spans="1:8" x14ac:dyDescent="0.25">
      <c r="A672" s="1" t="str">
        <f>"793  "</f>
        <v xml:space="preserve">793  </v>
      </c>
      <c r="B672" s="1" t="s">
        <v>2792</v>
      </c>
      <c r="C672" s="1" t="s">
        <v>2793</v>
      </c>
      <c r="D672" s="1" t="s">
        <v>2794</v>
      </c>
      <c r="E672" s="1" t="s">
        <v>2744</v>
      </c>
      <c r="F672" s="1" t="str">
        <f>"405124601"</f>
        <v>405124601</v>
      </c>
      <c r="G672" s="1" t="str">
        <f>"8004574708"</f>
        <v>8004574708</v>
      </c>
      <c r="H672" s="1" t="s">
        <v>2795</v>
      </c>
    </row>
    <row r="673" spans="1:8" x14ac:dyDescent="0.25">
      <c r="A673" s="1" t="str">
        <f>"794  "</f>
        <v xml:space="preserve">794  </v>
      </c>
      <c r="B673" s="1" t="s">
        <v>640</v>
      </c>
      <c r="C673" s="1" t="s">
        <v>641</v>
      </c>
      <c r="D673" s="1" t="s">
        <v>2717</v>
      </c>
      <c r="E673" s="1" t="s">
        <v>2681</v>
      </c>
      <c r="F673" s="1" t="str">
        <f>"30371    "</f>
        <v xml:space="preserve">30371    </v>
      </c>
      <c r="G673" s="1" t="str">
        <f>"4046593300"</f>
        <v>4046593300</v>
      </c>
      <c r="H673" s="1" t="s">
        <v>2637</v>
      </c>
    </row>
    <row r="674" spans="1:8" x14ac:dyDescent="0.25">
      <c r="A674" s="1" t="str">
        <f>"795  "</f>
        <v xml:space="preserve">795  </v>
      </c>
      <c r="B674" s="1" t="s">
        <v>964</v>
      </c>
      <c r="C674" s="1" t="s">
        <v>965</v>
      </c>
      <c r="D674" s="1" t="s">
        <v>966</v>
      </c>
      <c r="E674" s="1" t="s">
        <v>2677</v>
      </c>
      <c r="F674" s="1" t="str">
        <f>"272150901"</f>
        <v>272150901</v>
      </c>
      <c r="G674" s="1" t="str">
        <f>"3362267950"</f>
        <v>3362267950</v>
      </c>
      <c r="H674" s="1" t="s">
        <v>2637</v>
      </c>
    </row>
    <row r="675" spans="1:8" x14ac:dyDescent="0.25">
      <c r="A675" s="1" t="str">
        <f>"796  "</f>
        <v xml:space="preserve">796  </v>
      </c>
      <c r="B675" s="1" t="s">
        <v>878</v>
      </c>
      <c r="C675" s="1" t="str">
        <f>"2000 SPRINGER DRIVE                               "</f>
        <v xml:space="preserve">2000 SPRINGER DRIVE                               </v>
      </c>
      <c r="D675" s="1" t="s">
        <v>879</v>
      </c>
      <c r="E675" s="1" t="s">
        <v>2786</v>
      </c>
      <c r="F675" s="1" t="str">
        <f>"60148    "</f>
        <v xml:space="preserve">60148    </v>
      </c>
      <c r="G675" s="1" t="str">
        <f>"8003237268"</f>
        <v>8003237268</v>
      </c>
      <c r="H675" s="1" t="s">
        <v>2688</v>
      </c>
    </row>
    <row r="676" spans="1:8" x14ac:dyDescent="0.25">
      <c r="A676" s="1" t="str">
        <f>"797  "</f>
        <v xml:space="preserve">797  </v>
      </c>
      <c r="B676" s="1" t="s">
        <v>2467</v>
      </c>
      <c r="C676" s="1" t="s">
        <v>2468</v>
      </c>
      <c r="D676" s="1" t="s">
        <v>2635</v>
      </c>
      <c r="E676" s="1" t="s">
        <v>2636</v>
      </c>
      <c r="F676" s="1" t="str">
        <f>"77274    "</f>
        <v xml:space="preserve">77274    </v>
      </c>
      <c r="G676" s="1" t="str">
        <f>"8664225009"</f>
        <v>8664225009</v>
      </c>
      <c r="H676" s="1" t="str">
        <f>"              MEDICARE ADVANTAGE PLAN                                                                                                       "</f>
        <v xml:space="preserve">              MEDICARE ADVANTAGE PLAN                                                                                                       </v>
      </c>
    </row>
    <row r="677" spans="1:8" x14ac:dyDescent="0.25">
      <c r="A677" s="1" t="str">
        <f>"798  "</f>
        <v xml:space="preserve">798  </v>
      </c>
      <c r="B677" s="1" t="s">
        <v>2408</v>
      </c>
      <c r="C677" s="1" t="str">
        <f>"12480 WEST ATLANTIC BLVD. STE 2                   "</f>
        <v xml:space="preserve">12480 WEST ATLANTIC BLVD. STE 2                   </v>
      </c>
      <c r="D677" s="1" t="s">
        <v>2409</v>
      </c>
      <c r="E677" s="1" t="s">
        <v>2832</v>
      </c>
      <c r="F677" s="1" t="str">
        <f>"33071    "</f>
        <v xml:space="preserve">33071    </v>
      </c>
      <c r="G677" s="1" t="str">
        <f>"954-345-56"</f>
        <v>954-345-56</v>
      </c>
      <c r="H677" s="1" t="s">
        <v>2637</v>
      </c>
    </row>
    <row r="678" spans="1:8" x14ac:dyDescent="0.25">
      <c r="A678" s="1" t="str">
        <f>"799  "</f>
        <v xml:space="preserve">799  </v>
      </c>
      <c r="B678" s="1" t="s">
        <v>2799</v>
      </c>
      <c r="C678" s="1" t="s">
        <v>2800</v>
      </c>
      <c r="D678" s="1" t="s">
        <v>2801</v>
      </c>
      <c r="E678" s="1" t="s">
        <v>2663</v>
      </c>
      <c r="F678" s="1" t="str">
        <f>"949129974"</f>
        <v>949129974</v>
      </c>
      <c r="G678" s="1" t="str">
        <f>"8008764582"</f>
        <v>8008764582</v>
      </c>
      <c r="H678" s="1" t="s">
        <v>2802</v>
      </c>
    </row>
    <row r="679" spans="1:8" x14ac:dyDescent="0.25">
      <c r="A679" s="1" t="str">
        <f>"800  "</f>
        <v xml:space="preserve">800  </v>
      </c>
      <c r="B679" s="1" t="s">
        <v>429</v>
      </c>
      <c r="C679" s="1" t="s">
        <v>1686</v>
      </c>
      <c r="D679" s="1" t="s">
        <v>430</v>
      </c>
      <c r="E679" s="1" t="s">
        <v>2697</v>
      </c>
      <c r="F679" s="1" t="str">
        <f>"185040097"</f>
        <v>185040097</v>
      </c>
      <c r="G679" s="1" t="str">
        <f>"8007177562"</f>
        <v>8007177562</v>
      </c>
      <c r="H679" s="1" t="s">
        <v>2760</v>
      </c>
    </row>
    <row r="680" spans="1:8" x14ac:dyDescent="0.25">
      <c r="A680" s="1" t="str">
        <f>"801  "</f>
        <v xml:space="preserve">801  </v>
      </c>
      <c r="B680" s="1" t="s">
        <v>268</v>
      </c>
      <c r="C680" s="1" t="s">
        <v>269</v>
      </c>
      <c r="D680" s="1" t="s">
        <v>2596</v>
      </c>
      <c r="E680" s="1" t="s">
        <v>2826</v>
      </c>
      <c r="F680" s="1" t="str">
        <f>"80155    "</f>
        <v xml:space="preserve">80155    </v>
      </c>
      <c r="G680" s="1" t="str">
        <f>"8882738020"</f>
        <v>8882738020</v>
      </c>
      <c r="H680" s="1" t="s">
        <v>2637</v>
      </c>
    </row>
    <row r="681" spans="1:8" x14ac:dyDescent="0.25">
      <c r="A681" s="1" t="str">
        <f>"802  "</f>
        <v xml:space="preserve">802  </v>
      </c>
      <c r="B681" s="1" t="s">
        <v>2255</v>
      </c>
      <c r="C681" s="1" t="s">
        <v>2216</v>
      </c>
      <c r="D681" s="1" t="s">
        <v>3188</v>
      </c>
      <c r="E681" s="1" t="s">
        <v>2832</v>
      </c>
      <c r="F681" s="1" t="str">
        <f>"325910130"</f>
        <v>325910130</v>
      </c>
      <c r="G681" s="1" t="str">
        <f>"8007896364"</f>
        <v>8007896364</v>
      </c>
      <c r="H681" s="1" t="s">
        <v>2637</v>
      </c>
    </row>
    <row r="682" spans="1:8" x14ac:dyDescent="0.25">
      <c r="A682" s="1" t="str">
        <f>"803  "</f>
        <v xml:space="preserve">803  </v>
      </c>
      <c r="B682" s="1" t="s">
        <v>1800</v>
      </c>
      <c r="C682" s="1" t="s">
        <v>1801</v>
      </c>
      <c r="D682" s="1" t="s">
        <v>2094</v>
      </c>
      <c r="E682" s="1" t="s">
        <v>2706</v>
      </c>
      <c r="F682" s="1" t="str">
        <f>"46032    "</f>
        <v xml:space="preserve">46032    </v>
      </c>
      <c r="G682" s="1" t="str">
        <f>"8005381235"</f>
        <v>8005381235</v>
      </c>
      <c r="H682" s="1" t="s">
        <v>2637</v>
      </c>
    </row>
    <row r="683" spans="1:8" x14ac:dyDescent="0.25">
      <c r="A683" s="1" t="str">
        <f>"804  "</f>
        <v xml:space="preserve">804  </v>
      </c>
      <c r="B683" s="1" t="s">
        <v>568</v>
      </c>
      <c r="C683" s="1" t="s">
        <v>569</v>
      </c>
      <c r="D683" s="1" t="s">
        <v>3070</v>
      </c>
      <c r="E683" s="1" t="s">
        <v>2714</v>
      </c>
      <c r="F683" s="1" t="str">
        <f>"452500408"</f>
        <v>452500408</v>
      </c>
      <c r="G683" s="1" t="str">
        <f>"8004007247"</f>
        <v>8004007247</v>
      </c>
      <c r="H683" s="1" t="s">
        <v>2637</v>
      </c>
    </row>
    <row r="684" spans="1:8" x14ac:dyDescent="0.25">
      <c r="A684" s="1" t="str">
        <f>"805  "</f>
        <v xml:space="preserve">805  </v>
      </c>
      <c r="B684" s="1" t="s">
        <v>2215</v>
      </c>
      <c r="C684" s="1" t="s">
        <v>2216</v>
      </c>
      <c r="D684" s="1" t="s">
        <v>3188</v>
      </c>
      <c r="E684" s="1" t="s">
        <v>2832</v>
      </c>
      <c r="F684" s="1" t="str">
        <f>"325910130"</f>
        <v>325910130</v>
      </c>
      <c r="G684" s="1" t="str">
        <f>"8006357418"</f>
        <v>8006357418</v>
      </c>
      <c r="H684" s="1" t="s">
        <v>2688</v>
      </c>
    </row>
    <row r="685" spans="1:8" x14ac:dyDescent="0.25">
      <c r="A685" s="1" t="str">
        <f>"806  "</f>
        <v xml:space="preserve">806  </v>
      </c>
      <c r="B685" s="1" t="s">
        <v>1117</v>
      </c>
      <c r="C685" s="1" t="s">
        <v>1118</v>
      </c>
      <c r="D685" s="1" t="s">
        <v>1119</v>
      </c>
      <c r="E685" s="1" t="s">
        <v>2667</v>
      </c>
      <c r="F685" s="1" t="str">
        <f>"54952    "</f>
        <v xml:space="preserve">54952    </v>
      </c>
      <c r="G685" s="1" t="str">
        <f>"9207201300"</f>
        <v>9207201300</v>
      </c>
      <c r="H685" s="1" t="s">
        <v>2760</v>
      </c>
    </row>
    <row r="686" spans="1:8" x14ac:dyDescent="0.25">
      <c r="A686" s="1" t="str">
        <f>"807  "</f>
        <v xml:space="preserve">807  </v>
      </c>
      <c r="B686" s="1" t="s">
        <v>1273</v>
      </c>
      <c r="C686" s="1" t="s">
        <v>1274</v>
      </c>
      <c r="D686" s="1" t="s">
        <v>3029</v>
      </c>
      <c r="E686" s="1" t="s">
        <v>2644</v>
      </c>
      <c r="F686" s="1" t="str">
        <f>"460071199"</f>
        <v>460071199</v>
      </c>
      <c r="G686" s="1" t="str">
        <f>"8002291199"</f>
        <v>8002291199</v>
      </c>
      <c r="H686" s="1" t="s">
        <v>2637</v>
      </c>
    </row>
    <row r="687" spans="1:8" x14ac:dyDescent="0.25">
      <c r="A687" s="1" t="str">
        <f>"808  "</f>
        <v xml:space="preserve">808  </v>
      </c>
      <c r="B687" s="1" t="s">
        <v>1816</v>
      </c>
      <c r="C687" s="1" t="s">
        <v>1817</v>
      </c>
      <c r="D687" s="1" t="s">
        <v>1818</v>
      </c>
      <c r="E687" s="1" t="s">
        <v>2647</v>
      </c>
      <c r="F687" s="1" t="str">
        <f>"21031    "</f>
        <v xml:space="preserve">21031    </v>
      </c>
      <c r="G687" s="1" t="str">
        <f>"8005706745"</f>
        <v>8005706745</v>
      </c>
      <c r="H687" s="1" t="s">
        <v>2637</v>
      </c>
    </row>
    <row r="688" spans="1:8" x14ac:dyDescent="0.25">
      <c r="A688" s="1" t="str">
        <f>"809  "</f>
        <v xml:space="preserve">809  </v>
      </c>
      <c r="B688" s="1" t="s">
        <v>1873</v>
      </c>
      <c r="C688" s="1" t="str">
        <f>"300 SOUTH PARK PO BOX 6002                        "</f>
        <v xml:space="preserve">300 SOUTH PARK PO BOX 6002                        </v>
      </c>
      <c r="D688" s="1" t="s">
        <v>1874</v>
      </c>
      <c r="E688" s="1" t="s">
        <v>2663</v>
      </c>
      <c r="F688" s="1" t="str">
        <f>"917696002"</f>
        <v>917696002</v>
      </c>
      <c r="G688" s="1" t="str">
        <f>"8002518191"</f>
        <v>8002518191</v>
      </c>
      <c r="H688" s="1" t="s">
        <v>2688</v>
      </c>
    </row>
    <row r="689" spans="1:8" x14ac:dyDescent="0.25">
      <c r="A689" s="1" t="str">
        <f>"810  "</f>
        <v xml:space="preserve">810  </v>
      </c>
      <c r="B689" s="1" t="s">
        <v>2787</v>
      </c>
      <c r="C689" s="1" t="s">
        <v>2788</v>
      </c>
      <c r="D689" s="1" t="s">
        <v>2673</v>
      </c>
      <c r="E689" s="1" t="s">
        <v>2674</v>
      </c>
      <c r="F689" s="1" t="str">
        <f>"84130    "</f>
        <v xml:space="preserve">84130    </v>
      </c>
      <c r="G689" s="1" t="str">
        <f>"877-801-35"</f>
        <v>877-801-35</v>
      </c>
      <c r="H689" s="1" t="s">
        <v>2688</v>
      </c>
    </row>
    <row r="690" spans="1:8" x14ac:dyDescent="0.25">
      <c r="A690" s="1" t="str">
        <f>"811  "</f>
        <v xml:space="preserve">811  </v>
      </c>
      <c r="B690" s="1" t="s">
        <v>1324</v>
      </c>
      <c r="C690" s="1" t="s">
        <v>1325</v>
      </c>
      <c r="D690" s="1" t="s">
        <v>2696</v>
      </c>
      <c r="E690" s="1" t="s">
        <v>2660</v>
      </c>
      <c r="F690" s="1" t="str">
        <f>"29721    "</f>
        <v xml:space="preserve">29721    </v>
      </c>
      <c r="G690" s="1" t="str">
        <f>"877-629-00"</f>
        <v>877-629-00</v>
      </c>
      <c r="H690" s="1" t="s">
        <v>2688</v>
      </c>
    </row>
    <row r="691" spans="1:8" x14ac:dyDescent="0.25">
      <c r="A691" s="1" t="str">
        <f>"812  "</f>
        <v xml:space="preserve">812  </v>
      </c>
      <c r="B691" s="1" t="s">
        <v>3025</v>
      </c>
      <c r="C691" s="1" t="s">
        <v>3026</v>
      </c>
      <c r="D691" s="1" t="s">
        <v>2673</v>
      </c>
      <c r="E691" s="1" t="s">
        <v>2674</v>
      </c>
      <c r="F691" s="1" t="str">
        <f>"841300541"</f>
        <v>841300541</v>
      </c>
      <c r="G691" s="1" t="str">
        <f>"8008269781"</f>
        <v>8008269781</v>
      </c>
      <c r="H691" s="1" t="s">
        <v>2760</v>
      </c>
    </row>
    <row r="692" spans="1:8" x14ac:dyDescent="0.25">
      <c r="A692" s="1" t="str">
        <f>"813  "</f>
        <v xml:space="preserve">813  </v>
      </c>
      <c r="B692" s="1" t="s">
        <v>41</v>
      </c>
      <c r="C692" s="1" t="str">
        <f>"9201 WATSON RD, SUITE 350                         "</f>
        <v xml:space="preserve">9201 WATSON RD, SUITE 350                         </v>
      </c>
      <c r="D692" s="1" t="s">
        <v>2314</v>
      </c>
      <c r="E692" s="1" t="s">
        <v>2670</v>
      </c>
      <c r="F692" s="1" t="str">
        <f>"631261509"</f>
        <v>631261509</v>
      </c>
      <c r="G692" s="1" t="str">
        <f>"8007762453"</f>
        <v>8007762453</v>
      </c>
      <c r="H692" s="1" t="s">
        <v>2637</v>
      </c>
    </row>
    <row r="693" spans="1:8" x14ac:dyDescent="0.25">
      <c r="A693" s="1" t="str">
        <f>"814  "</f>
        <v xml:space="preserve">814  </v>
      </c>
      <c r="B693" s="1" t="s">
        <v>2325</v>
      </c>
      <c r="C693" s="1" t="s">
        <v>2326</v>
      </c>
      <c r="D693" s="1" t="s">
        <v>2687</v>
      </c>
      <c r="E693" s="1" t="s">
        <v>2663</v>
      </c>
      <c r="F693" s="1" t="str">
        <f>"93718    "</f>
        <v xml:space="preserve">93718    </v>
      </c>
      <c r="G693" s="1" t="str">
        <f>"8004427247"</f>
        <v>8004427247</v>
      </c>
      <c r="H693" s="1" t="s">
        <v>2637</v>
      </c>
    </row>
    <row r="694" spans="1:8" x14ac:dyDescent="0.25">
      <c r="A694" s="1" t="str">
        <f>"815  "</f>
        <v xml:space="preserve">815  </v>
      </c>
      <c r="B694" s="1" t="s">
        <v>2562</v>
      </c>
      <c r="C694" s="1" t="s">
        <v>2563</v>
      </c>
      <c r="D694" s="1" t="s">
        <v>2296</v>
      </c>
      <c r="E694" s="1" t="s">
        <v>2636</v>
      </c>
      <c r="F694" s="1" t="str">
        <f>"75026    "</f>
        <v xml:space="preserve">75026    </v>
      </c>
      <c r="G694" s="1" t="str">
        <f>"8664587499"</f>
        <v>8664587499</v>
      </c>
      <c r="H694" s="1" t="s">
        <v>2564</v>
      </c>
    </row>
    <row r="695" spans="1:8" x14ac:dyDescent="0.25">
      <c r="A695" s="1" t="str">
        <f>"816  "</f>
        <v xml:space="preserve">816  </v>
      </c>
      <c r="B695" s="1" t="s">
        <v>891</v>
      </c>
      <c r="C695" s="1" t="s">
        <v>2356</v>
      </c>
      <c r="D695" s="1" t="s">
        <v>2357</v>
      </c>
      <c r="E695" s="1" t="s">
        <v>2663</v>
      </c>
      <c r="F695" s="1" t="str">
        <f>"91723    "</f>
        <v xml:space="preserve">91723    </v>
      </c>
      <c r="G695" s="1" t="str">
        <f>"8005738597"</f>
        <v>8005738597</v>
      </c>
      <c r="H695" s="1" t="s">
        <v>2795</v>
      </c>
    </row>
    <row r="696" spans="1:8" x14ac:dyDescent="0.25">
      <c r="A696" s="1" t="str">
        <f>"817  "</f>
        <v xml:space="preserve">817  </v>
      </c>
      <c r="B696" s="1" t="s">
        <v>1529</v>
      </c>
      <c r="C696" s="1" t="str">
        <f>"1231 E BELTLINE NE                                "</f>
        <v xml:space="preserve">1231 E BELTLINE NE                                </v>
      </c>
      <c r="D696" s="1" t="s">
        <v>2643</v>
      </c>
      <c r="E696" s="1" t="s">
        <v>2644</v>
      </c>
      <c r="F696" s="1" t="str">
        <f>"495254501"</f>
        <v>495254501</v>
      </c>
      <c r="G696" s="1" t="str">
        <f>"8004465674"</f>
        <v>8004465674</v>
      </c>
      <c r="H696" s="1" t="s">
        <v>2637</v>
      </c>
    </row>
    <row r="697" spans="1:8" x14ac:dyDescent="0.25">
      <c r="A697" s="1" t="str">
        <f>"818  "</f>
        <v xml:space="preserve">818  </v>
      </c>
      <c r="B697" s="1" t="s">
        <v>2780</v>
      </c>
      <c r="C697" s="1" t="s">
        <v>2781</v>
      </c>
      <c r="D697" s="1" t="s">
        <v>2782</v>
      </c>
      <c r="E697" s="1" t="s">
        <v>2647</v>
      </c>
      <c r="F697" s="1" t="str">
        <f>"20674    "</f>
        <v xml:space="preserve">20674    </v>
      </c>
      <c r="G697" s="1" t="str">
        <f>"8002524674"</f>
        <v>8002524674</v>
      </c>
      <c r="H697" s="1" t="s">
        <v>2637</v>
      </c>
    </row>
    <row r="698" spans="1:8" x14ac:dyDescent="0.25">
      <c r="A698" s="1" t="str">
        <f>"819  "</f>
        <v xml:space="preserve">819  </v>
      </c>
      <c r="B698" s="1" t="s">
        <v>279</v>
      </c>
      <c r="C698" s="1" t="s">
        <v>280</v>
      </c>
      <c r="D698" s="1" t="s">
        <v>2939</v>
      </c>
      <c r="E698" s="1" t="s">
        <v>2667</v>
      </c>
      <c r="F698" s="1" t="str">
        <f>"537077985"</f>
        <v>537077985</v>
      </c>
      <c r="G698" s="1" t="str">
        <f>"8009826257"</f>
        <v>8009826257</v>
      </c>
      <c r="H698" s="1" t="s">
        <v>281</v>
      </c>
    </row>
    <row r="699" spans="1:8" x14ac:dyDescent="0.25">
      <c r="A699" s="1" t="str">
        <f>"820  "</f>
        <v xml:space="preserve">820  </v>
      </c>
      <c r="B699" s="1" t="s">
        <v>2630</v>
      </c>
      <c r="C699" s="1" t="str">
        <f>"4001 41ST ST. WEST                                "</f>
        <v xml:space="preserve">4001 41ST ST. WEST                                </v>
      </c>
      <c r="D699" s="1" t="s">
        <v>3180</v>
      </c>
      <c r="E699" s="1" t="s">
        <v>2631</v>
      </c>
      <c r="F699" s="1" t="str">
        <f>"41154    "</f>
        <v xml:space="preserve">41154    </v>
      </c>
      <c r="G699" s="1" t="str">
        <f>"8006356671"</f>
        <v>8006356671</v>
      </c>
      <c r="H699" s="1" t="s">
        <v>2632</v>
      </c>
    </row>
    <row r="700" spans="1:8" x14ac:dyDescent="0.25">
      <c r="A700" s="1" t="str">
        <f>"821  "</f>
        <v xml:space="preserve">821  </v>
      </c>
      <c r="B700" s="1" t="s">
        <v>2124</v>
      </c>
      <c r="C700" s="1" t="s">
        <v>2125</v>
      </c>
      <c r="D700" s="1" t="s">
        <v>2126</v>
      </c>
      <c r="E700" s="1" t="s">
        <v>2127</v>
      </c>
      <c r="F700" s="1" t="str">
        <f>"972084030"</f>
        <v>972084030</v>
      </c>
      <c r="G700" s="1" t="str">
        <f>"8773370650"</f>
        <v>8773370650</v>
      </c>
      <c r="H700" s="1" t="s">
        <v>2688</v>
      </c>
    </row>
    <row r="701" spans="1:8" x14ac:dyDescent="0.25">
      <c r="A701" s="1" t="str">
        <f>"822  "</f>
        <v xml:space="preserve">822  </v>
      </c>
      <c r="B701" s="1" t="s">
        <v>2113</v>
      </c>
      <c r="C701" s="1" t="s">
        <v>2114</v>
      </c>
      <c r="D701" s="1" t="s">
        <v>2713</v>
      </c>
      <c r="E701" s="1" t="s">
        <v>2714</v>
      </c>
      <c r="F701" s="1" t="str">
        <f>"44101    "</f>
        <v xml:space="preserve">44101    </v>
      </c>
      <c r="G701" s="1" t="str">
        <f>"8002582873"</f>
        <v>8002582873</v>
      </c>
      <c r="H701" s="1" t="s">
        <v>2688</v>
      </c>
    </row>
    <row r="702" spans="1:8" x14ac:dyDescent="0.25">
      <c r="A702" s="1" t="str">
        <f>"823  "</f>
        <v xml:space="preserve">823  </v>
      </c>
      <c r="B702" s="1" t="s">
        <v>2872</v>
      </c>
      <c r="C702" s="1" t="str">
        <f>"2850 W GRAND BLVD                                 "</f>
        <v xml:space="preserve">2850 W GRAND BLVD                                 </v>
      </c>
      <c r="D702" s="1" t="s">
        <v>2657</v>
      </c>
      <c r="E702" s="1" t="s">
        <v>2644</v>
      </c>
      <c r="F702" s="1" t="str">
        <f>"495254501"</f>
        <v>495254501</v>
      </c>
      <c r="G702" s="1" t="str">
        <f>"8004224641"</f>
        <v>8004224641</v>
      </c>
      <c r="H702" s="1" t="s">
        <v>2648</v>
      </c>
    </row>
    <row r="703" spans="1:8" x14ac:dyDescent="0.25">
      <c r="A703" s="1" t="str">
        <f>"824  "</f>
        <v xml:space="preserve">824  </v>
      </c>
      <c r="B703" s="1" t="s">
        <v>2996</v>
      </c>
      <c r="C703" s="1" t="str">
        <f>"2181  EAST AURORA RD STE 201                      "</f>
        <v xml:space="preserve">2181  EAST AURORA RD STE 201                      </v>
      </c>
      <c r="D703" s="1" t="s">
        <v>2997</v>
      </c>
      <c r="E703" s="1" t="s">
        <v>2714</v>
      </c>
      <c r="F703" s="1" t="str">
        <f>"44087    "</f>
        <v xml:space="preserve">44087    </v>
      </c>
      <c r="G703" s="1" t="str">
        <f>"8003614542"</f>
        <v>8003614542</v>
      </c>
      <c r="H703" s="1" t="s">
        <v>2637</v>
      </c>
    </row>
    <row r="704" spans="1:8" x14ac:dyDescent="0.25">
      <c r="A704" s="1" t="str">
        <f>"825  "</f>
        <v xml:space="preserve">825  </v>
      </c>
      <c r="B704" s="1" t="s">
        <v>1152</v>
      </c>
      <c r="C704" s="1" t="s">
        <v>1153</v>
      </c>
      <c r="D704" s="1" t="s">
        <v>1154</v>
      </c>
      <c r="E704" s="1" t="s">
        <v>2773</v>
      </c>
      <c r="F704" s="1" t="str">
        <f>"12402    "</f>
        <v xml:space="preserve">12402    </v>
      </c>
      <c r="G704" s="1" t="str">
        <f>"8006009007"</f>
        <v>8006009007</v>
      </c>
      <c r="H704" s="1" t="s">
        <v>2795</v>
      </c>
    </row>
    <row r="705" spans="1:8" x14ac:dyDescent="0.25">
      <c r="A705" s="1" t="str">
        <f>"826  "</f>
        <v xml:space="preserve">826  </v>
      </c>
      <c r="B705" s="1" t="s">
        <v>2828</v>
      </c>
      <c r="C705" s="1" t="s">
        <v>2829</v>
      </c>
      <c r="D705" s="1" t="s">
        <v>2652</v>
      </c>
      <c r="E705" s="1" t="s">
        <v>2647</v>
      </c>
      <c r="F705" s="1" t="str">
        <f>"21203    "</f>
        <v xml:space="preserve">21203    </v>
      </c>
      <c r="G705" s="1" t="str">
        <f>"4105470454"</f>
        <v>4105470454</v>
      </c>
      <c r="H705" s="1" t="s">
        <v>2637</v>
      </c>
    </row>
    <row r="706" spans="1:8" x14ac:dyDescent="0.25">
      <c r="A706" s="1" t="str">
        <f>"827  "</f>
        <v xml:space="preserve">827  </v>
      </c>
      <c r="B706" s="1" t="s">
        <v>1045</v>
      </c>
      <c r="C706" s="1" t="s">
        <v>1046</v>
      </c>
      <c r="D706" s="1" t="s">
        <v>1047</v>
      </c>
      <c r="E706" s="1" t="s">
        <v>2681</v>
      </c>
      <c r="F706" s="1" t="str">
        <f>"30271    "</f>
        <v xml:space="preserve">30271    </v>
      </c>
      <c r="G706" s="1" t="str">
        <f>"8882954864"</f>
        <v>8882954864</v>
      </c>
      <c r="H706" s="1" t="s">
        <v>2637</v>
      </c>
    </row>
    <row r="707" spans="1:8" x14ac:dyDescent="0.25">
      <c r="A707" s="1" t="str">
        <f>"828  "</f>
        <v xml:space="preserve">828  </v>
      </c>
      <c r="B707" s="1" t="s">
        <v>2859</v>
      </c>
      <c r="C707" s="1" t="s">
        <v>2860</v>
      </c>
      <c r="D707" s="1" t="s">
        <v>2861</v>
      </c>
      <c r="E707" s="1" t="s">
        <v>2862</v>
      </c>
      <c r="F707" s="1" t="str">
        <f>"68017    "</f>
        <v xml:space="preserve">68017    </v>
      </c>
      <c r="G707" s="1" t="str">
        <f>"8005465677"</f>
        <v>8005465677</v>
      </c>
      <c r="H707" s="1" t="s">
        <v>2637</v>
      </c>
    </row>
    <row r="708" spans="1:8" x14ac:dyDescent="0.25">
      <c r="A708" s="1" t="str">
        <f>"829  "</f>
        <v xml:space="preserve">829  </v>
      </c>
      <c r="B708" s="1" t="s">
        <v>1138</v>
      </c>
      <c r="C708" s="1" t="s">
        <v>1139</v>
      </c>
      <c r="D708" s="1" t="s">
        <v>2052</v>
      </c>
      <c r="E708" s="1" t="s">
        <v>2681</v>
      </c>
      <c r="F708" s="1" t="str">
        <f>"30023    "</f>
        <v xml:space="preserve">30023    </v>
      </c>
      <c r="G708" s="1" t="str">
        <f>"6783390211"</f>
        <v>6783390211</v>
      </c>
      <c r="H708" s="1" t="s">
        <v>2637</v>
      </c>
    </row>
    <row r="709" spans="1:8" x14ac:dyDescent="0.25">
      <c r="A709" s="1" t="str">
        <f>"830  "</f>
        <v xml:space="preserve">830  </v>
      </c>
      <c r="B709" s="1" t="s">
        <v>1796</v>
      </c>
      <c r="C709" s="1" t="s">
        <v>1797</v>
      </c>
      <c r="D709" s="1" t="s">
        <v>2805</v>
      </c>
      <c r="E709" s="1" t="s">
        <v>2636</v>
      </c>
      <c r="F709" s="1" t="str">
        <f>"78755    "</f>
        <v xml:space="preserve">78755    </v>
      </c>
      <c r="G709" s="1" t="str">
        <f>"8002477724"</f>
        <v>8002477724</v>
      </c>
      <c r="H709" s="1" t="s">
        <v>2637</v>
      </c>
    </row>
    <row r="710" spans="1:8" x14ac:dyDescent="0.25">
      <c r="A710" s="1" t="str">
        <f>"831  "</f>
        <v xml:space="preserve">831  </v>
      </c>
      <c r="B710" s="1" t="s">
        <v>3005</v>
      </c>
      <c r="C710" s="1" t="s">
        <v>3006</v>
      </c>
      <c r="D710" s="1" t="s">
        <v>2943</v>
      </c>
      <c r="E710" s="1" t="s">
        <v>2944</v>
      </c>
      <c r="F710" s="1" t="str">
        <f>"72221    "</f>
        <v xml:space="preserve">72221    </v>
      </c>
      <c r="G710" s="1" t="str">
        <f>"8886049397"</f>
        <v>8886049397</v>
      </c>
      <c r="H710" s="1" t="s">
        <v>2637</v>
      </c>
    </row>
    <row r="711" spans="1:8" x14ac:dyDescent="0.25">
      <c r="A711" s="1" t="str">
        <f>"832  "</f>
        <v xml:space="preserve">832  </v>
      </c>
      <c r="B711" s="1" t="s">
        <v>639</v>
      </c>
      <c r="C711" s="1" t="str">
        <f>"6100 LAKE FOREST DRIVE                            "</f>
        <v xml:space="preserve">6100 LAKE FOREST DRIVE                            </v>
      </c>
      <c r="D711" s="1" t="s">
        <v>2717</v>
      </c>
      <c r="E711" s="1" t="s">
        <v>2681</v>
      </c>
      <c r="F711" s="1" t="str">
        <f>"30328    "</f>
        <v xml:space="preserve">30328    </v>
      </c>
      <c r="G711" s="1" t="str">
        <f>"8003879919"</f>
        <v>8003879919</v>
      </c>
      <c r="H711" s="1" t="s">
        <v>2637</v>
      </c>
    </row>
    <row r="712" spans="1:8" x14ac:dyDescent="0.25">
      <c r="A712" s="1" t="str">
        <f>"833  "</f>
        <v xml:space="preserve">833  </v>
      </c>
      <c r="B712" s="1" t="s">
        <v>2395</v>
      </c>
      <c r="C712" s="1" t="s">
        <v>2396</v>
      </c>
      <c r="D712" s="1" t="s">
        <v>2397</v>
      </c>
      <c r="E712" s="1" t="s">
        <v>2670</v>
      </c>
      <c r="F712" s="1" t="str">
        <f>"658084568"</f>
        <v>658084568</v>
      </c>
      <c r="G712" s="1" t="str">
        <f>"8006472240"</f>
        <v>8006472240</v>
      </c>
      <c r="H712" s="1" t="s">
        <v>2637</v>
      </c>
    </row>
    <row r="713" spans="1:8" x14ac:dyDescent="0.25">
      <c r="A713" s="1" t="str">
        <f>"834  "</f>
        <v xml:space="preserve">834  </v>
      </c>
      <c r="B713" s="1" t="s">
        <v>1728</v>
      </c>
      <c r="C713" s="1" t="s">
        <v>1729</v>
      </c>
      <c r="D713" s="1" t="s">
        <v>2433</v>
      </c>
      <c r="E713" s="1" t="s">
        <v>2773</v>
      </c>
      <c r="F713" s="1" t="str">
        <f>"14226    "</f>
        <v xml:space="preserve">14226    </v>
      </c>
      <c r="G713" s="1" t="str">
        <f>"8663334648"</f>
        <v>8663334648</v>
      </c>
      <c r="H713" s="1" t="s">
        <v>1730</v>
      </c>
    </row>
    <row r="714" spans="1:8" x14ac:dyDescent="0.25">
      <c r="A714" s="1" t="str">
        <f>"835  "</f>
        <v xml:space="preserve">835  </v>
      </c>
      <c r="B714" s="1" t="s">
        <v>286</v>
      </c>
      <c r="C714" s="1" t="str">
        <f>"1100 NORTH LINDBERGH                              "</f>
        <v xml:space="preserve">1100 NORTH LINDBERGH                              </v>
      </c>
      <c r="D714" s="1" t="s">
        <v>2314</v>
      </c>
      <c r="E714" s="1" t="s">
        <v>2670</v>
      </c>
      <c r="F714" s="1" t="str">
        <f>"63132    "</f>
        <v xml:space="preserve">63132    </v>
      </c>
      <c r="G714" s="1" t="str">
        <f>"8006729540"</f>
        <v>8006729540</v>
      </c>
      <c r="H714" s="1" t="s">
        <v>287</v>
      </c>
    </row>
    <row r="715" spans="1:8" x14ac:dyDescent="0.25">
      <c r="A715" s="1" t="str">
        <f>"836  "</f>
        <v xml:space="preserve">836  </v>
      </c>
      <c r="B715" s="1" t="s">
        <v>2736</v>
      </c>
      <c r="C715" s="1" t="str">
        <f>"1100 EMPLOYERS BLVD                               "</f>
        <v xml:space="preserve">1100 EMPLOYERS BLVD                               </v>
      </c>
      <c r="D715" s="1" t="s">
        <v>2737</v>
      </c>
      <c r="E715" s="1" t="s">
        <v>2667</v>
      </c>
      <c r="F715" s="1" t="str">
        <f>"543440620"</f>
        <v>543440620</v>
      </c>
      <c r="G715" s="1" t="str">
        <f>"8005584444"</f>
        <v>8005584444</v>
      </c>
      <c r="H715" s="1" t="s">
        <v>2637</v>
      </c>
    </row>
    <row r="716" spans="1:8" x14ac:dyDescent="0.25">
      <c r="A716" s="1" t="str">
        <f>"837  "</f>
        <v xml:space="preserve">837  </v>
      </c>
      <c r="B716" s="1" t="s">
        <v>1527</v>
      </c>
      <c r="C716" s="1" t="s">
        <v>1528</v>
      </c>
      <c r="D716" s="1" t="s">
        <v>2635</v>
      </c>
      <c r="E716" s="1" t="s">
        <v>2636</v>
      </c>
      <c r="F716" s="1" t="str">
        <f>"77267    "</f>
        <v xml:space="preserve">77267    </v>
      </c>
      <c r="G716" s="1" t="str">
        <f>"8008655440"</f>
        <v>8008655440</v>
      </c>
      <c r="H716" s="1" t="s">
        <v>2637</v>
      </c>
    </row>
    <row r="717" spans="1:8" x14ac:dyDescent="0.25">
      <c r="A717" s="1" t="str">
        <f>"838  "</f>
        <v xml:space="preserve">838  </v>
      </c>
      <c r="B717" s="1" t="s">
        <v>2470</v>
      </c>
      <c r="C717" s="1" t="s">
        <v>2471</v>
      </c>
      <c r="D717" s="1" t="s">
        <v>2472</v>
      </c>
      <c r="E717" s="1" t="s">
        <v>2902</v>
      </c>
      <c r="F717" s="1" t="str">
        <f>"55116    "</f>
        <v xml:space="preserve">55116    </v>
      </c>
      <c r="G717" s="1" t="str">
        <f>"8883308408"</f>
        <v>8883308408</v>
      </c>
      <c r="H717" s="1" t="s">
        <v>2637</v>
      </c>
    </row>
    <row r="718" spans="1:8" x14ac:dyDescent="0.25">
      <c r="A718" s="1" t="str">
        <f>"839  "</f>
        <v xml:space="preserve">839  </v>
      </c>
      <c r="B718" s="1" t="s">
        <v>2741</v>
      </c>
      <c r="C718" s="1" t="s">
        <v>2742</v>
      </c>
      <c r="D718" s="1" t="s">
        <v>2743</v>
      </c>
      <c r="E718" s="1" t="s">
        <v>2744</v>
      </c>
      <c r="F718" s="1" t="str">
        <f>"402536149"</f>
        <v>402536149</v>
      </c>
      <c r="G718" s="1" t="str">
        <f>"5022442420"</f>
        <v>5022442420</v>
      </c>
      <c r="H718" s="1" t="s">
        <v>2637</v>
      </c>
    </row>
    <row r="719" spans="1:8" x14ac:dyDescent="0.25">
      <c r="A719" s="1" t="str">
        <f>"840  "</f>
        <v xml:space="preserve">840  </v>
      </c>
      <c r="B719" s="1" t="s">
        <v>2008</v>
      </c>
      <c r="C719" s="1" t="s">
        <v>2009</v>
      </c>
      <c r="D719" s="1" t="s">
        <v>2010</v>
      </c>
      <c r="E719" s="1" t="s">
        <v>2636</v>
      </c>
      <c r="F719" s="1" t="str">
        <f>"76797    "</f>
        <v xml:space="preserve">76797    </v>
      </c>
      <c r="G719" s="1" t="str">
        <f>"8177723050"</f>
        <v>8177723050</v>
      </c>
      <c r="H719" s="1" t="s">
        <v>2637</v>
      </c>
    </row>
    <row r="720" spans="1:8" x14ac:dyDescent="0.25">
      <c r="A720" s="1" t="str">
        <f>"841  "</f>
        <v xml:space="preserve">841  </v>
      </c>
      <c r="B720" s="1" t="s">
        <v>2319</v>
      </c>
      <c r="C720" s="1" t="s">
        <v>2320</v>
      </c>
      <c r="D720" s="1" t="s">
        <v>2717</v>
      </c>
      <c r="E720" s="1" t="s">
        <v>2681</v>
      </c>
      <c r="F720" s="1" t="str">
        <f>"30301    "</f>
        <v xml:space="preserve">30301    </v>
      </c>
      <c r="G720" s="1" t="str">
        <f>"8003333841"</f>
        <v>8003333841</v>
      </c>
      <c r="H720" s="1" t="s">
        <v>2688</v>
      </c>
    </row>
    <row r="721" spans="1:8" x14ac:dyDescent="0.25">
      <c r="A721" s="1" t="str">
        <f>"842  "</f>
        <v xml:space="preserve">842  </v>
      </c>
      <c r="B721" s="1" t="s">
        <v>2203</v>
      </c>
      <c r="C721" s="1" t="s">
        <v>2204</v>
      </c>
      <c r="D721" s="1" t="s">
        <v>2705</v>
      </c>
      <c r="E721" s="1" t="s">
        <v>2706</v>
      </c>
      <c r="F721" s="1" t="str">
        <f>"462400619"</f>
        <v>462400619</v>
      </c>
      <c r="G721" s="1" t="str">
        <f>"3172579131"</f>
        <v>3172579131</v>
      </c>
      <c r="H721" s="1" t="s">
        <v>2637</v>
      </c>
    </row>
    <row r="722" spans="1:8" x14ac:dyDescent="0.25">
      <c r="A722" s="1" t="str">
        <f>"843  "</f>
        <v xml:space="preserve">843  </v>
      </c>
      <c r="B722" s="1" t="s">
        <v>1447</v>
      </c>
      <c r="C722" s="1" t="s">
        <v>1448</v>
      </c>
      <c r="D722" s="1" t="s">
        <v>1449</v>
      </c>
      <c r="E722" s="1" t="s">
        <v>2681</v>
      </c>
      <c r="F722" s="1" t="str">
        <f>"31202    "</f>
        <v xml:space="preserve">31202    </v>
      </c>
      <c r="G722" s="1" t="str">
        <f>"8887412673"</f>
        <v>8887412673</v>
      </c>
      <c r="H722" s="1" t="s">
        <v>2637</v>
      </c>
    </row>
    <row r="723" spans="1:8" x14ac:dyDescent="0.25">
      <c r="A723" s="1" t="str">
        <f>"844  "</f>
        <v xml:space="preserve">844  </v>
      </c>
      <c r="B723" s="1" t="s">
        <v>2597</v>
      </c>
      <c r="C723" s="1" t="s">
        <v>2598</v>
      </c>
      <c r="D723" s="1" t="s">
        <v>2246</v>
      </c>
      <c r="E723" s="1" t="s">
        <v>2714</v>
      </c>
      <c r="F723" s="1" t="str">
        <f>"44706    "</f>
        <v xml:space="preserve">44706    </v>
      </c>
      <c r="G723" s="1" t="str">
        <f>"8006177446"</f>
        <v>8006177446</v>
      </c>
      <c r="H723" s="1" t="s">
        <v>2760</v>
      </c>
    </row>
    <row r="724" spans="1:8" x14ac:dyDescent="0.25">
      <c r="A724" s="1" t="str">
        <f>"845  "</f>
        <v xml:space="preserve">845  </v>
      </c>
      <c r="B724" s="1" t="s">
        <v>1886</v>
      </c>
      <c r="C724" s="1" t="s">
        <v>1887</v>
      </c>
      <c r="D724" s="1" t="s">
        <v>1888</v>
      </c>
      <c r="E724" s="1" t="s">
        <v>2697</v>
      </c>
      <c r="F724" s="1" t="str">
        <f>"178218200"</f>
        <v>178218200</v>
      </c>
      <c r="G724" s="1" t="str">
        <f>"8004989731"</f>
        <v>8004989731</v>
      </c>
      <c r="H724" s="1" t="s">
        <v>2795</v>
      </c>
    </row>
    <row r="725" spans="1:8" x14ac:dyDescent="0.25">
      <c r="A725" s="1" t="str">
        <f>"846  "</f>
        <v xml:space="preserve">846  </v>
      </c>
      <c r="B725" s="1" t="s">
        <v>1794</v>
      </c>
      <c r="C725" s="1" t="str">
        <f>"6380 FOLSOM DR                                    "</f>
        <v xml:space="preserve">6380 FOLSOM DR                                    </v>
      </c>
      <c r="D725" s="1" t="s">
        <v>1795</v>
      </c>
      <c r="E725" s="1" t="s">
        <v>2636</v>
      </c>
      <c r="F725" s="1" t="str">
        <f>"77706    "</f>
        <v xml:space="preserve">77706    </v>
      </c>
      <c r="G725" s="1" t="str">
        <f>"8008809988"</f>
        <v>8008809988</v>
      </c>
      <c r="H725" s="1" t="s">
        <v>2637</v>
      </c>
    </row>
    <row r="726" spans="1:8" x14ac:dyDescent="0.25">
      <c r="A726" s="1" t="str">
        <f>"847  "</f>
        <v xml:space="preserve">847  </v>
      </c>
      <c r="B726" s="1" t="s">
        <v>1092</v>
      </c>
      <c r="C726" s="1" t="s">
        <v>1093</v>
      </c>
      <c r="D726" s="1" t="s">
        <v>2601</v>
      </c>
      <c r="E726" s="1" t="s">
        <v>2832</v>
      </c>
      <c r="F726" s="1" t="str">
        <f>"33338    "</f>
        <v xml:space="preserve">33338    </v>
      </c>
      <c r="G726" s="1" t="str">
        <f>"8002807093"</f>
        <v>8002807093</v>
      </c>
      <c r="H726" s="1" t="s">
        <v>2637</v>
      </c>
    </row>
    <row r="727" spans="1:8" x14ac:dyDescent="0.25">
      <c r="A727" s="1" t="str">
        <f>"848  "</f>
        <v xml:space="preserve">848  </v>
      </c>
      <c r="B727" s="1" t="s">
        <v>1500</v>
      </c>
      <c r="C727" s="1" t="s">
        <v>1501</v>
      </c>
      <c r="D727" s="1" t="s">
        <v>1502</v>
      </c>
      <c r="E727" s="1" t="s">
        <v>2832</v>
      </c>
      <c r="F727" s="1" t="str">
        <f>"33823    "</f>
        <v xml:space="preserve">33823    </v>
      </c>
      <c r="G727" s="1" t="str">
        <f>"8002822460"</f>
        <v>8002822460</v>
      </c>
      <c r="H727" s="1" t="s">
        <v>2637</v>
      </c>
    </row>
    <row r="728" spans="1:8" x14ac:dyDescent="0.25">
      <c r="A728" s="1" t="str">
        <f>"849  "</f>
        <v xml:space="preserve">849  </v>
      </c>
      <c r="B728" s="1" t="s">
        <v>517</v>
      </c>
      <c r="C728" s="1" t="s">
        <v>518</v>
      </c>
      <c r="D728" s="1" t="s">
        <v>2118</v>
      </c>
      <c r="E728" s="1" t="s">
        <v>2809</v>
      </c>
      <c r="F728" s="1" t="str">
        <f>"85285    "</f>
        <v xml:space="preserve">85285    </v>
      </c>
      <c r="G728" s="1" t="str">
        <f>"8884568417"</f>
        <v>8884568417</v>
      </c>
      <c r="H728" s="1" t="s">
        <v>2637</v>
      </c>
    </row>
    <row r="729" spans="1:8" x14ac:dyDescent="0.25">
      <c r="A729" s="1" t="str">
        <f>"850  "</f>
        <v xml:space="preserve">850  </v>
      </c>
      <c r="B729" s="1" t="s">
        <v>2581</v>
      </c>
      <c r="C729" s="1" t="s">
        <v>2582</v>
      </c>
      <c r="D729" s="1" t="s">
        <v>2726</v>
      </c>
      <c r="E729" s="1" t="s">
        <v>2647</v>
      </c>
      <c r="F729" s="1" t="str">
        <f>"217050934"</f>
        <v>217050934</v>
      </c>
      <c r="G729" s="1" t="str">
        <f>"8003423289"</f>
        <v>8003423289</v>
      </c>
      <c r="H729" s="1" t="s">
        <v>2688</v>
      </c>
    </row>
    <row r="730" spans="1:8" x14ac:dyDescent="0.25">
      <c r="A730" s="1" t="str">
        <f>"852  "</f>
        <v xml:space="preserve">852  </v>
      </c>
      <c r="B730" s="1" t="s">
        <v>66</v>
      </c>
      <c r="C730" s="1" t="s">
        <v>67</v>
      </c>
      <c r="D730" s="1" t="s">
        <v>2067</v>
      </c>
      <c r="E730" s="1" t="s">
        <v>2677</v>
      </c>
      <c r="F730" s="1" t="str">
        <f>"276240006"</f>
        <v>276240006</v>
      </c>
      <c r="G730" s="1" t="str">
        <f>"8008094861"</f>
        <v>8008094861</v>
      </c>
      <c r="H730" s="1" t="s">
        <v>2637</v>
      </c>
    </row>
    <row r="731" spans="1:8" x14ac:dyDescent="0.25">
      <c r="A731" s="1" t="str">
        <f>"853  "</f>
        <v xml:space="preserve">853  </v>
      </c>
      <c r="B731" s="1" t="s">
        <v>515</v>
      </c>
      <c r="C731" s="1" t="s">
        <v>516</v>
      </c>
      <c r="D731" s="1" t="s">
        <v>2154</v>
      </c>
      <c r="E731" s="1" t="s">
        <v>2786</v>
      </c>
      <c r="F731" s="1" t="str">
        <f>"60680    "</f>
        <v xml:space="preserve">60680    </v>
      </c>
      <c r="G731" s="1" t="str">
        <f>"8775955282"</f>
        <v>8775955282</v>
      </c>
      <c r="H731" s="1" t="s">
        <v>2637</v>
      </c>
    </row>
    <row r="732" spans="1:8" x14ac:dyDescent="0.25">
      <c r="A732" s="1" t="str">
        <f>"854  "</f>
        <v xml:space="preserve">854  </v>
      </c>
      <c r="B732" s="1" t="s">
        <v>1209</v>
      </c>
      <c r="C732" s="1" t="s">
        <v>1080</v>
      </c>
      <c r="D732" s="1" t="s">
        <v>1210</v>
      </c>
      <c r="E732" s="1" t="s">
        <v>3086</v>
      </c>
      <c r="F732" s="1" t="str">
        <f>"36016    "</f>
        <v xml:space="preserve">36016    </v>
      </c>
      <c r="G732" s="1" t="str">
        <f>"3347751284"</f>
        <v>3347751284</v>
      </c>
      <c r="H732" s="1" t="s">
        <v>2637</v>
      </c>
    </row>
    <row r="733" spans="1:8" x14ac:dyDescent="0.25">
      <c r="A733" s="1" t="str">
        <f>"855  "</f>
        <v xml:space="preserve">855  </v>
      </c>
      <c r="B733" s="1" t="s">
        <v>982</v>
      </c>
      <c r="C733" s="1" t="s">
        <v>983</v>
      </c>
      <c r="D733" s="1" t="s">
        <v>3085</v>
      </c>
      <c r="E733" s="1" t="s">
        <v>3086</v>
      </c>
      <c r="F733" s="1" t="str">
        <f>"35283    "</f>
        <v xml:space="preserve">35283    </v>
      </c>
      <c r="G733" s="1" t="str">
        <f>"8778780914"</f>
        <v>8778780914</v>
      </c>
      <c r="H733" s="1" t="s">
        <v>2637</v>
      </c>
    </row>
    <row r="734" spans="1:8" x14ac:dyDescent="0.25">
      <c r="A734" s="1" t="str">
        <f>"856  "</f>
        <v xml:space="preserve">856  </v>
      </c>
      <c r="B734" s="1" t="s">
        <v>3258</v>
      </c>
      <c r="C734" s="1" t="s">
        <v>3259</v>
      </c>
      <c r="D734" s="1" t="s">
        <v>2874</v>
      </c>
      <c r="E734" s="1" t="s">
        <v>2663</v>
      </c>
      <c r="F734" s="1" t="str">
        <f>"90051    "</f>
        <v xml:space="preserve">90051    </v>
      </c>
      <c r="G734" s="1" t="str">
        <f>"2137422111"</f>
        <v>2137422111</v>
      </c>
      <c r="H734" s="1" t="s">
        <v>2637</v>
      </c>
    </row>
    <row r="735" spans="1:8" x14ac:dyDescent="0.25">
      <c r="A735" s="1" t="str">
        <f>"857  "</f>
        <v xml:space="preserve">857  </v>
      </c>
      <c r="B735" s="1" t="s">
        <v>1599</v>
      </c>
      <c r="C735" s="1" t="s">
        <v>1600</v>
      </c>
      <c r="D735" s="1" t="s">
        <v>2854</v>
      </c>
      <c r="E735" s="1" t="s">
        <v>2636</v>
      </c>
      <c r="F735" s="1" t="str">
        <f>"79998    "</f>
        <v xml:space="preserve">79998    </v>
      </c>
      <c r="G735" s="1" t="str">
        <f>"7043730447"</f>
        <v>7043730447</v>
      </c>
      <c r="H735" s="1" t="s">
        <v>2637</v>
      </c>
    </row>
    <row r="736" spans="1:8" x14ac:dyDescent="0.25">
      <c r="A736" s="1" t="str">
        <f>"858  "</f>
        <v xml:space="preserve">858  </v>
      </c>
      <c r="B736" s="1" t="s">
        <v>664</v>
      </c>
      <c r="C736" s="1" t="s">
        <v>665</v>
      </c>
      <c r="D736" s="1" t="s">
        <v>2701</v>
      </c>
      <c r="E736" s="1" t="s">
        <v>2660</v>
      </c>
      <c r="F736" s="1" t="str">
        <f>"29202    "</f>
        <v xml:space="preserve">29202    </v>
      </c>
      <c r="G736" s="1" t="str">
        <f>"8003076553"</f>
        <v>8003076553</v>
      </c>
      <c r="H736" s="1" t="s">
        <v>666</v>
      </c>
    </row>
    <row r="737" spans="1:8" x14ac:dyDescent="0.25">
      <c r="A737" s="1" t="str">
        <f>"859  "</f>
        <v xml:space="preserve">859  </v>
      </c>
      <c r="B737" s="1" t="s">
        <v>2228</v>
      </c>
      <c r="C737" s="1" t="s">
        <v>2229</v>
      </c>
      <c r="D737" s="1" t="s">
        <v>2981</v>
      </c>
      <c r="E737" s="1" t="s">
        <v>2832</v>
      </c>
      <c r="F737" s="1" t="str">
        <f>"33630    "</f>
        <v xml:space="preserve">33630    </v>
      </c>
      <c r="G737" s="1" t="str">
        <f>"8006541731"</f>
        <v>8006541731</v>
      </c>
      <c r="H737" s="1" t="s">
        <v>2637</v>
      </c>
    </row>
    <row r="738" spans="1:8" x14ac:dyDescent="0.25">
      <c r="A738" s="1" t="str">
        <f>"860  "</f>
        <v xml:space="preserve">860  </v>
      </c>
      <c r="B738" s="1" t="s">
        <v>2803</v>
      </c>
      <c r="C738" s="1" t="s">
        <v>2804</v>
      </c>
      <c r="D738" s="1" t="s">
        <v>2805</v>
      </c>
      <c r="E738" s="1" t="s">
        <v>2636</v>
      </c>
      <c r="F738" s="1" t="str">
        <f>"78720    "</f>
        <v xml:space="preserve">78720    </v>
      </c>
      <c r="G738" s="1" t="str">
        <f>"8008352094"</f>
        <v>8008352094</v>
      </c>
      <c r="H738" s="1" t="s">
        <v>2637</v>
      </c>
    </row>
    <row r="739" spans="1:8" x14ac:dyDescent="0.25">
      <c r="A739" s="1" t="str">
        <f>"861  "</f>
        <v xml:space="preserve">861  </v>
      </c>
      <c r="B739" s="1" t="s">
        <v>1334</v>
      </c>
      <c r="C739" s="1" t="s">
        <v>1335</v>
      </c>
      <c r="D739" s="1" t="s">
        <v>2717</v>
      </c>
      <c r="E739" s="1" t="s">
        <v>2681</v>
      </c>
      <c r="F739" s="1" t="str">
        <f>"31139    "</f>
        <v xml:space="preserve">31139    </v>
      </c>
      <c r="G739" s="1" t="str">
        <f>"8772917920"</f>
        <v>8772917920</v>
      </c>
      <c r="H739" s="1" t="s">
        <v>2637</v>
      </c>
    </row>
    <row r="740" spans="1:8" x14ac:dyDescent="0.25">
      <c r="A740" s="1" t="str">
        <f>"862  "</f>
        <v xml:space="preserve">862  </v>
      </c>
      <c r="B740" s="1" t="s">
        <v>2432</v>
      </c>
      <c r="C740" s="1" t="str">
        <f>"300 CORPORATE PARKWAY                             "</f>
        <v xml:space="preserve">300 CORPORATE PARKWAY                             </v>
      </c>
      <c r="D740" s="1" t="s">
        <v>2433</v>
      </c>
      <c r="E740" s="1" t="s">
        <v>2773</v>
      </c>
      <c r="F740" s="1" t="str">
        <f>"11226    "</f>
        <v xml:space="preserve">11226    </v>
      </c>
      <c r="G740" s="1" t="str">
        <f>"8777776076"</f>
        <v>8777776076</v>
      </c>
      <c r="H740" s="1" t="s">
        <v>2637</v>
      </c>
    </row>
    <row r="741" spans="1:8" x14ac:dyDescent="0.25">
      <c r="A741" s="1" t="str">
        <f>"863  "</f>
        <v xml:space="preserve">863  </v>
      </c>
      <c r="B741" s="1" t="s">
        <v>2806</v>
      </c>
      <c r="C741" s="1" t="s">
        <v>2807</v>
      </c>
      <c r="D741" s="1" t="s">
        <v>2808</v>
      </c>
      <c r="E741" s="1" t="s">
        <v>2809</v>
      </c>
      <c r="F741" s="1" t="str">
        <f>"85069    "</f>
        <v xml:space="preserve">85069    </v>
      </c>
      <c r="G741" s="1" t="str">
        <f>"8008433106"</f>
        <v>8008433106</v>
      </c>
      <c r="H741" s="1" t="s">
        <v>2637</v>
      </c>
    </row>
    <row r="742" spans="1:8" x14ac:dyDescent="0.25">
      <c r="A742" s="1" t="str">
        <f>"864  "</f>
        <v xml:space="preserve">864  </v>
      </c>
      <c r="B742" s="1" t="s">
        <v>2430</v>
      </c>
      <c r="C742" s="1" t="s">
        <v>2431</v>
      </c>
      <c r="D742" s="1" t="s">
        <v>2413</v>
      </c>
      <c r="E742" s="1" t="s">
        <v>2636</v>
      </c>
      <c r="F742" s="1" t="str">
        <f>"76015    "</f>
        <v xml:space="preserve">76015    </v>
      </c>
      <c r="G742" s="1" t="str">
        <f>"8882558961"</f>
        <v>8882558961</v>
      </c>
      <c r="H742" s="1" t="s">
        <v>2637</v>
      </c>
    </row>
    <row r="743" spans="1:8" x14ac:dyDescent="0.25">
      <c r="A743" s="1" t="str">
        <f>"865  "</f>
        <v xml:space="preserve">865  </v>
      </c>
      <c r="B743" s="1" t="s">
        <v>1390</v>
      </c>
      <c r="C743" s="1" t="s">
        <v>1391</v>
      </c>
      <c r="D743" s="1" t="s">
        <v>2901</v>
      </c>
      <c r="E743" s="1" t="s">
        <v>2902</v>
      </c>
      <c r="F743" s="1" t="str">
        <f>"554409385"</f>
        <v>554409385</v>
      </c>
      <c r="G743" s="1" t="str">
        <f>"8002349009"</f>
        <v>8002349009</v>
      </c>
      <c r="H743" s="1" t="str">
        <f>"            NAIC 93742                                                                                                                      "</f>
        <v xml:space="preserve">            NAIC 93742                                                                                                                      </v>
      </c>
    </row>
    <row r="744" spans="1:8" x14ac:dyDescent="0.25">
      <c r="A744" s="1" t="str">
        <f>"866  "</f>
        <v xml:space="preserve">866  </v>
      </c>
      <c r="B744" s="1" t="s">
        <v>989</v>
      </c>
      <c r="C744" s="1" t="s">
        <v>990</v>
      </c>
      <c r="D744" s="1" t="s">
        <v>2857</v>
      </c>
      <c r="E744" s="1" t="s">
        <v>2858</v>
      </c>
      <c r="F744" s="1" t="str">
        <f>"98227    "</f>
        <v xml:space="preserve">98227    </v>
      </c>
      <c r="G744" s="1" t="str">
        <f>"3607349888"</f>
        <v>3607349888</v>
      </c>
      <c r="H744" s="1" t="s">
        <v>2637</v>
      </c>
    </row>
    <row r="745" spans="1:8" x14ac:dyDescent="0.25">
      <c r="A745" s="1" t="str">
        <f>"867  "</f>
        <v xml:space="preserve">867  </v>
      </c>
      <c r="B745" s="1" t="s">
        <v>1287</v>
      </c>
      <c r="C745" s="1" t="s">
        <v>1288</v>
      </c>
      <c r="D745" s="1" t="s">
        <v>2676</v>
      </c>
      <c r="E745" s="1" t="s">
        <v>2677</v>
      </c>
      <c r="F745" s="1" t="str">
        <f>"27702    "</f>
        <v xml:space="preserve">27702    </v>
      </c>
      <c r="G745" s="1" t="str">
        <f>"9194897431"</f>
        <v>9194897431</v>
      </c>
      <c r="H745" s="1" t="s">
        <v>2637</v>
      </c>
    </row>
    <row r="746" spans="1:8" x14ac:dyDescent="0.25">
      <c r="A746" s="1" t="str">
        <f>"868  "</f>
        <v xml:space="preserve">868  </v>
      </c>
      <c r="B746" s="1" t="s">
        <v>2810</v>
      </c>
      <c r="C746" s="1" t="s">
        <v>2811</v>
      </c>
      <c r="D746" s="1" t="s">
        <v>2685</v>
      </c>
      <c r="E746" s="1" t="s">
        <v>2670</v>
      </c>
      <c r="F746" s="1" t="str">
        <f>"64121    "</f>
        <v xml:space="preserve">64121    </v>
      </c>
      <c r="G746" s="1" t="str">
        <f>"8008745254"</f>
        <v>8008745254</v>
      </c>
      <c r="H746" s="1" t="s">
        <v>2637</v>
      </c>
    </row>
    <row r="747" spans="1:8" x14ac:dyDescent="0.25">
      <c r="A747" s="1" t="str">
        <f>"869  "</f>
        <v xml:space="preserve">869  </v>
      </c>
      <c r="B747" s="1" t="s">
        <v>3135</v>
      </c>
      <c r="C747" s="1" t="s">
        <v>3136</v>
      </c>
      <c r="D747" s="1" t="s">
        <v>3137</v>
      </c>
      <c r="E747" s="1" t="s">
        <v>3138</v>
      </c>
      <c r="F747" s="1" t="str">
        <f>"59104    "</f>
        <v xml:space="preserve">59104    </v>
      </c>
      <c r="G747" s="1" t="str">
        <f>"8007773575"</f>
        <v>8007773575</v>
      </c>
      <c r="H747" s="1" t="s">
        <v>2637</v>
      </c>
    </row>
    <row r="748" spans="1:8" x14ac:dyDescent="0.25">
      <c r="A748" s="1" t="str">
        <f>"870  "</f>
        <v xml:space="preserve">870  </v>
      </c>
      <c r="B748" s="1" t="s">
        <v>494</v>
      </c>
      <c r="C748" s="1" t="s">
        <v>495</v>
      </c>
      <c r="D748" s="1" t="s">
        <v>496</v>
      </c>
      <c r="E748" s="1" t="s">
        <v>2832</v>
      </c>
      <c r="F748" s="1" t="str">
        <f>"33345    "</f>
        <v xml:space="preserve">33345    </v>
      </c>
      <c r="G748" s="1" t="str">
        <f>"8004415501"</f>
        <v>8004415501</v>
      </c>
      <c r="H748" s="1" t="s">
        <v>2637</v>
      </c>
    </row>
    <row r="749" spans="1:8" x14ac:dyDescent="0.25">
      <c r="A749" s="1" t="str">
        <f>"871  "</f>
        <v xml:space="preserve">871  </v>
      </c>
      <c r="B749" s="1" t="s">
        <v>1227</v>
      </c>
      <c r="C749" s="1" t="s">
        <v>1228</v>
      </c>
      <c r="D749" s="1" t="s">
        <v>2867</v>
      </c>
      <c r="E749" s="1" t="s">
        <v>2902</v>
      </c>
      <c r="F749" s="1" t="str">
        <f>"55816    "</f>
        <v xml:space="preserve">55816    </v>
      </c>
      <c r="G749" s="1" t="str">
        <f>"8008776003"</f>
        <v>8008776003</v>
      </c>
      <c r="H749" s="1" t="s">
        <v>2688</v>
      </c>
    </row>
    <row r="750" spans="1:8" x14ac:dyDescent="0.25">
      <c r="A750" s="1" t="str">
        <f>"872  "</f>
        <v xml:space="preserve">872  </v>
      </c>
      <c r="B750" s="1" t="s">
        <v>133</v>
      </c>
      <c r="C750" s="1" t="str">
        <f>"3800 23RD AVE. #200                               "</f>
        <v xml:space="preserve">3800 23RD AVE. #200                               </v>
      </c>
      <c r="D750" s="1" t="s">
        <v>134</v>
      </c>
      <c r="E750" s="1" t="s">
        <v>2786</v>
      </c>
      <c r="F750" s="1" t="str">
        <f>"61215    "</f>
        <v xml:space="preserve">61215    </v>
      </c>
      <c r="G750" s="1" t="str">
        <f>"8002246602"</f>
        <v>8002246602</v>
      </c>
      <c r="H750" s="1" t="s">
        <v>135</v>
      </c>
    </row>
    <row r="751" spans="1:8" x14ac:dyDescent="0.25">
      <c r="A751" s="1" t="str">
        <f>"873  "</f>
        <v xml:space="preserve">873  </v>
      </c>
      <c r="B751" s="1" t="s">
        <v>853</v>
      </c>
      <c r="C751" s="1" t="s">
        <v>854</v>
      </c>
      <c r="D751" s="1" t="s">
        <v>2939</v>
      </c>
      <c r="E751" s="1" t="s">
        <v>2667</v>
      </c>
      <c r="F751" s="1" t="str">
        <f>"537088190"</f>
        <v>537088190</v>
      </c>
      <c r="G751" s="1" t="str">
        <f>"8002217006"</f>
        <v>8002217006</v>
      </c>
      <c r="H751" s="1" t="s">
        <v>855</v>
      </c>
    </row>
    <row r="752" spans="1:8" x14ac:dyDescent="0.25">
      <c r="A752" s="1" t="str">
        <f>"874  "</f>
        <v xml:space="preserve">874  </v>
      </c>
      <c r="B752" s="1" t="s">
        <v>1099</v>
      </c>
      <c r="C752" s="1" t="s">
        <v>1100</v>
      </c>
      <c r="D752" s="1" t="s">
        <v>2794</v>
      </c>
      <c r="E752" s="1" t="s">
        <v>2744</v>
      </c>
      <c r="F752" s="1" t="str">
        <f>"40512    "</f>
        <v xml:space="preserve">40512    </v>
      </c>
      <c r="G752" s="1" t="str">
        <f>"8887477823"</f>
        <v>8887477823</v>
      </c>
      <c r="H752" s="1" t="s">
        <v>1101</v>
      </c>
    </row>
    <row r="753" spans="1:8" x14ac:dyDescent="0.25">
      <c r="A753" s="1" t="str">
        <f>"875  "</f>
        <v xml:space="preserve">875  </v>
      </c>
      <c r="B753" s="1" t="s">
        <v>1933</v>
      </c>
      <c r="C753" s="1" t="s">
        <v>1934</v>
      </c>
      <c r="D753" s="1" t="s">
        <v>3289</v>
      </c>
      <c r="E753" s="1" t="s">
        <v>2697</v>
      </c>
      <c r="F753" s="1" t="str">
        <f>"171061140"</f>
        <v>171061140</v>
      </c>
      <c r="G753" s="1" t="str">
        <f>"8006927338"</f>
        <v>8006927338</v>
      </c>
      <c r="H753" s="1" t="s">
        <v>2760</v>
      </c>
    </row>
    <row r="754" spans="1:8" x14ac:dyDescent="0.25">
      <c r="A754" s="1" t="str">
        <f>"876  "</f>
        <v xml:space="preserve">876  </v>
      </c>
      <c r="B754" s="1" t="s">
        <v>959</v>
      </c>
      <c r="C754" s="1" t="s">
        <v>960</v>
      </c>
      <c r="D754" s="1" t="s">
        <v>2067</v>
      </c>
      <c r="E754" s="1" t="s">
        <v>2677</v>
      </c>
      <c r="F754" s="1" t="str">
        <f>"27611    "</f>
        <v xml:space="preserve">27611    </v>
      </c>
      <c r="G754" s="1" t="str">
        <f>"8008499000"</f>
        <v>8008499000</v>
      </c>
      <c r="H754" s="1" t="s">
        <v>961</v>
      </c>
    </row>
    <row r="755" spans="1:8" x14ac:dyDescent="0.25">
      <c r="A755" s="1" t="str">
        <f>"877  "</f>
        <v xml:space="preserve">877  </v>
      </c>
      <c r="B755" s="1" t="s">
        <v>1875</v>
      </c>
      <c r="C755" s="1" t="s">
        <v>1876</v>
      </c>
      <c r="D755" s="1" t="s">
        <v>1877</v>
      </c>
      <c r="E755" s="1" t="s">
        <v>2670</v>
      </c>
      <c r="F755" s="1" t="str">
        <f>"640510300"</f>
        <v>640510300</v>
      </c>
      <c r="G755" s="1" t="str">
        <f>"8002207898"</f>
        <v>8002207898</v>
      </c>
      <c r="H755" s="1" t="s">
        <v>1878</v>
      </c>
    </row>
    <row r="756" spans="1:8" x14ac:dyDescent="0.25">
      <c r="A756" s="1" t="str">
        <f>"878  "</f>
        <v xml:space="preserve">878  </v>
      </c>
      <c r="B756" s="1" t="s">
        <v>898</v>
      </c>
      <c r="C756" s="1" t="s">
        <v>899</v>
      </c>
      <c r="D756" s="1" t="s">
        <v>3173</v>
      </c>
      <c r="E756" s="1" t="s">
        <v>2644</v>
      </c>
      <c r="F756" s="1" t="str">
        <f>"490034022"</f>
        <v>490034022</v>
      </c>
      <c r="G756" s="1" t="str">
        <f>"8002530966"</f>
        <v>8002530966</v>
      </c>
      <c r="H756" s="1" t="s">
        <v>2637</v>
      </c>
    </row>
    <row r="757" spans="1:8" x14ac:dyDescent="0.25">
      <c r="A757" s="1" t="str">
        <f>"879  "</f>
        <v xml:space="preserve">879  </v>
      </c>
      <c r="B757" s="1" t="s">
        <v>2109</v>
      </c>
      <c r="C757" s="1" t="s">
        <v>2110</v>
      </c>
      <c r="D757" s="1" t="s">
        <v>2791</v>
      </c>
      <c r="E757" s="1" t="s">
        <v>2744</v>
      </c>
      <c r="F757" s="1" t="str">
        <f>"40742    "</f>
        <v xml:space="preserve">40742    </v>
      </c>
      <c r="G757" s="1" t="str">
        <f>"8662083610"</f>
        <v>8662083610</v>
      </c>
      <c r="H757" s="1" t="s">
        <v>2111</v>
      </c>
    </row>
    <row r="758" spans="1:8" x14ac:dyDescent="0.25">
      <c r="A758" s="1" t="str">
        <f>"880  "</f>
        <v xml:space="preserve">880  </v>
      </c>
      <c r="B758" s="1" t="s">
        <v>918</v>
      </c>
      <c r="C758" s="1" t="s">
        <v>919</v>
      </c>
      <c r="D758" s="1" t="s">
        <v>2710</v>
      </c>
      <c r="E758" s="1" t="s">
        <v>2660</v>
      </c>
      <c r="F758" s="1" t="str">
        <f>"29602    "</f>
        <v xml:space="preserve">29602    </v>
      </c>
      <c r="G758" s="1" t="str">
        <f>"8642134992"</f>
        <v>8642134992</v>
      </c>
      <c r="H758" s="1" t="s">
        <v>2637</v>
      </c>
    </row>
    <row r="759" spans="1:8" x14ac:dyDescent="0.25">
      <c r="A759" s="1" t="str">
        <f>"881  "</f>
        <v xml:space="preserve">881  </v>
      </c>
      <c r="B759" s="1" t="s">
        <v>2260</v>
      </c>
      <c r="C759" s="1" t="s">
        <v>2261</v>
      </c>
      <c r="D759" s="1" t="s">
        <v>3085</v>
      </c>
      <c r="E759" s="1" t="s">
        <v>3086</v>
      </c>
      <c r="F759" s="1" t="str">
        <f>"352830724"</f>
        <v>352830724</v>
      </c>
      <c r="G759" s="1" t="str">
        <f>"8002451150"</f>
        <v>8002451150</v>
      </c>
      <c r="H759" s="1" t="s">
        <v>2688</v>
      </c>
    </row>
    <row r="760" spans="1:8" x14ac:dyDescent="0.25">
      <c r="A760" s="1" t="str">
        <f>"882  "</f>
        <v xml:space="preserve">882  </v>
      </c>
      <c r="B760" s="1" t="s">
        <v>2949</v>
      </c>
      <c r="C760" s="1" t="s">
        <v>2950</v>
      </c>
      <c r="D760" s="1" t="s">
        <v>2951</v>
      </c>
      <c r="E760" s="1" t="s">
        <v>2952</v>
      </c>
      <c r="F760" s="1" t="str">
        <f>"06034    "</f>
        <v xml:space="preserve">06034    </v>
      </c>
      <c r="G760" s="1" t="str">
        <f>"8772248230"</f>
        <v>8772248230</v>
      </c>
      <c r="H760" s="1" t="s">
        <v>2688</v>
      </c>
    </row>
    <row r="761" spans="1:8" x14ac:dyDescent="0.25">
      <c r="A761" s="1" t="str">
        <f>"883  "</f>
        <v xml:space="preserve">883  </v>
      </c>
      <c r="B761" s="1" t="s">
        <v>1289</v>
      </c>
      <c r="C761" s="1" t="str">
        <f>"7410 NORTHSIDE DRIVE SUITE 208                    "</f>
        <v xml:space="preserve">7410 NORTHSIDE DRIVE SUITE 208                    </v>
      </c>
      <c r="D761" s="1" t="s">
        <v>3013</v>
      </c>
      <c r="E761" s="1" t="s">
        <v>2660</v>
      </c>
      <c r="F761" s="1" t="str">
        <f>"29420    "</f>
        <v xml:space="preserve">29420    </v>
      </c>
      <c r="G761" s="1" t="str">
        <f>"8435691759"</f>
        <v>8435691759</v>
      </c>
      <c r="H761" s="1" t="s">
        <v>2735</v>
      </c>
    </row>
    <row r="762" spans="1:8" x14ac:dyDescent="0.25">
      <c r="A762" s="1" t="str">
        <f>"884  "</f>
        <v xml:space="preserve">884  </v>
      </c>
      <c r="B762" s="1" t="s">
        <v>861</v>
      </c>
      <c r="C762" s="1" t="s">
        <v>862</v>
      </c>
      <c r="D762" s="1" t="s">
        <v>863</v>
      </c>
      <c r="E762" s="1" t="s">
        <v>2832</v>
      </c>
      <c r="F762" s="1" t="str">
        <f>"329565001"</f>
        <v>329565001</v>
      </c>
      <c r="G762" s="1" t="str">
        <f>"8007167737"</f>
        <v>8007167737</v>
      </c>
      <c r="H762" s="1" t="s">
        <v>2735</v>
      </c>
    </row>
    <row r="763" spans="1:8" x14ac:dyDescent="0.25">
      <c r="A763" s="1" t="str">
        <f>"885  "</f>
        <v xml:space="preserve">885  </v>
      </c>
      <c r="B763" s="1" t="s">
        <v>2315</v>
      </c>
      <c r="C763" s="1" t="s">
        <v>2316</v>
      </c>
      <c r="D763" s="1" t="s">
        <v>2317</v>
      </c>
      <c r="E763" s="1" t="s">
        <v>2832</v>
      </c>
      <c r="F763" s="1" t="str">
        <f>"33102    "</f>
        <v xml:space="preserve">33102    </v>
      </c>
      <c r="G763" s="1" t="str">
        <f>"8003284316"</f>
        <v>8003284316</v>
      </c>
      <c r="H763" s="1" t="s">
        <v>2637</v>
      </c>
    </row>
    <row r="764" spans="1:8" x14ac:dyDescent="0.25">
      <c r="A764" s="1" t="str">
        <f>"886  "</f>
        <v xml:space="preserve">886  </v>
      </c>
      <c r="B764" s="1" t="s">
        <v>3290</v>
      </c>
      <c r="C764" s="1" t="s">
        <v>3291</v>
      </c>
      <c r="D764" s="1" t="s">
        <v>2701</v>
      </c>
      <c r="E764" s="1" t="s">
        <v>2660</v>
      </c>
      <c r="F764" s="1" t="str">
        <f>"29260    "</f>
        <v xml:space="preserve">29260    </v>
      </c>
      <c r="G764" s="1" t="str">
        <f>"8037540041"</f>
        <v>8037540041</v>
      </c>
      <c r="H764" s="1" t="s">
        <v>2637</v>
      </c>
    </row>
    <row r="765" spans="1:8" x14ac:dyDescent="0.25">
      <c r="A765" s="1" t="str">
        <f>"887  "</f>
        <v xml:space="preserve">887  </v>
      </c>
      <c r="B765" s="1" t="s">
        <v>1857</v>
      </c>
      <c r="C765" s="1" t="s">
        <v>2595</v>
      </c>
      <c r="D765" s="1" t="s">
        <v>2596</v>
      </c>
      <c r="E765" s="1" t="s">
        <v>2826</v>
      </c>
      <c r="F765" s="1" t="str">
        <f>"80155    "</f>
        <v xml:space="preserve">80155    </v>
      </c>
      <c r="G765" s="1" t="str">
        <f>"8004267453"</f>
        <v>8004267453</v>
      </c>
      <c r="H765" s="1" t="s">
        <v>2637</v>
      </c>
    </row>
    <row r="766" spans="1:8" x14ac:dyDescent="0.25">
      <c r="A766" s="1" t="str">
        <f>"888  "</f>
        <v xml:space="preserve">888  </v>
      </c>
      <c r="B766" s="1" t="s">
        <v>1317</v>
      </c>
      <c r="C766" s="1" t="str">
        <f>"335 ARCHDALE DRIVE                                "</f>
        <v xml:space="preserve">335 ARCHDALE DRIVE                                </v>
      </c>
      <c r="D766" s="1" t="s">
        <v>2906</v>
      </c>
      <c r="E766" s="1" t="s">
        <v>2677</v>
      </c>
      <c r="F766" s="1" t="str">
        <f>"282174246"</f>
        <v>282174246</v>
      </c>
      <c r="G766" s="1" t="str">
        <f>"7045295400"</f>
        <v>7045295400</v>
      </c>
      <c r="H766" s="1" t="s">
        <v>2637</v>
      </c>
    </row>
    <row r="767" spans="1:8" x14ac:dyDescent="0.25">
      <c r="A767" s="1" t="str">
        <f>"889  "</f>
        <v xml:space="preserve">889  </v>
      </c>
      <c r="B767" s="1" t="s">
        <v>3140</v>
      </c>
      <c r="C767" s="1" t="str">
        <f>"3350 PEACHTREE RD NE SUITE 1040                   "</f>
        <v xml:space="preserve">3350 PEACHTREE RD NE SUITE 1040                   </v>
      </c>
      <c r="D767" s="1" t="s">
        <v>2717</v>
      </c>
      <c r="E767" s="1" t="s">
        <v>2681</v>
      </c>
      <c r="F767" s="1" t="str">
        <f>"30326    "</f>
        <v xml:space="preserve">30326    </v>
      </c>
      <c r="G767" s="1" t="str">
        <f>"8006210683"</f>
        <v>8006210683</v>
      </c>
      <c r="H767" s="1" t="s">
        <v>2637</v>
      </c>
    </row>
    <row r="768" spans="1:8" x14ac:dyDescent="0.25">
      <c r="A768" s="1" t="str">
        <f>"890  "</f>
        <v xml:space="preserve">890  </v>
      </c>
      <c r="B768" s="1" t="s">
        <v>345</v>
      </c>
      <c r="C768" s="1" t="s">
        <v>346</v>
      </c>
      <c r="D768" s="1" t="s">
        <v>2036</v>
      </c>
      <c r="E768" s="1" t="s">
        <v>2677</v>
      </c>
      <c r="F768" s="1" t="str">
        <f>"271167368"</f>
        <v>271167368</v>
      </c>
      <c r="G768" s="1" t="str">
        <f>"8009425695"</f>
        <v>8009425695</v>
      </c>
      <c r="H768" s="1" t="s">
        <v>2637</v>
      </c>
    </row>
    <row r="769" spans="1:8" x14ac:dyDescent="0.25">
      <c r="A769" s="1" t="str">
        <f>"891  "</f>
        <v xml:space="preserve">891  </v>
      </c>
      <c r="B769" s="1" t="s">
        <v>2251</v>
      </c>
      <c r="C769" s="1" t="str">
        <f>"4 TAFT COURT                                      "</f>
        <v xml:space="preserve">4 TAFT COURT                                      </v>
      </c>
      <c r="D769" s="1" t="s">
        <v>2755</v>
      </c>
      <c r="E769" s="1" t="s">
        <v>2647</v>
      </c>
      <c r="F769" s="1" t="str">
        <f>"20850    "</f>
        <v xml:space="preserve">20850    </v>
      </c>
      <c r="G769" s="1" t="str">
        <f>"8003438205"</f>
        <v>8003438205</v>
      </c>
      <c r="H769" s="1" t="s">
        <v>2637</v>
      </c>
    </row>
    <row r="770" spans="1:8" x14ac:dyDescent="0.25">
      <c r="A770" s="1" t="str">
        <f>"892  "</f>
        <v xml:space="preserve">892  </v>
      </c>
      <c r="B770" s="1" t="s">
        <v>1781</v>
      </c>
      <c r="C770" s="1" t="s">
        <v>1782</v>
      </c>
      <c r="D770" s="1" t="s">
        <v>1783</v>
      </c>
      <c r="E770" s="1" t="s">
        <v>2773</v>
      </c>
      <c r="F770" s="1" t="str">
        <f>"14231    "</f>
        <v xml:space="preserve">14231    </v>
      </c>
      <c r="G770" s="1" t="str">
        <f>"8002471466"</f>
        <v>8002471466</v>
      </c>
      <c r="H770" s="1" t="s">
        <v>2637</v>
      </c>
    </row>
    <row r="771" spans="1:8" x14ac:dyDescent="0.25">
      <c r="A771" s="1" t="str">
        <f>"893  "</f>
        <v xml:space="preserve">893  </v>
      </c>
      <c r="B771" s="1" t="s">
        <v>2750</v>
      </c>
      <c r="C771" s="1" t="s">
        <v>2751</v>
      </c>
      <c r="D771" s="1" t="s">
        <v>2752</v>
      </c>
      <c r="E771" s="1" t="s">
        <v>2697</v>
      </c>
      <c r="F771" s="1" t="str">
        <f>"19101    "</f>
        <v xml:space="preserve">19101    </v>
      </c>
      <c r="G771" s="1" t="str">
        <f>"8002273116"</f>
        <v>8002273116</v>
      </c>
      <c r="H771" s="1" t="s">
        <v>2648</v>
      </c>
    </row>
    <row r="772" spans="1:8" x14ac:dyDescent="0.25">
      <c r="A772" s="1" t="str">
        <f>"894  "</f>
        <v xml:space="preserve">894  </v>
      </c>
      <c r="B772" s="1" t="s">
        <v>2789</v>
      </c>
      <c r="C772" s="1" t="s">
        <v>2790</v>
      </c>
      <c r="D772" s="1" t="s">
        <v>2791</v>
      </c>
      <c r="E772" s="1" t="s">
        <v>2744</v>
      </c>
      <c r="F772" s="1" t="str">
        <f>"40742    "</f>
        <v xml:space="preserve">40742    </v>
      </c>
      <c r="G772" s="1" t="str">
        <f>"8889917200"</f>
        <v>8889917200</v>
      </c>
      <c r="H772" s="1" t="s">
        <v>2648</v>
      </c>
    </row>
    <row r="773" spans="1:8" x14ac:dyDescent="0.25">
      <c r="A773" s="1" t="str">
        <f>"895  "</f>
        <v xml:space="preserve">895  </v>
      </c>
      <c r="B773" s="1" t="s">
        <v>3276</v>
      </c>
      <c r="C773" s="1" t="s">
        <v>3277</v>
      </c>
      <c r="D773" s="1" t="s">
        <v>3278</v>
      </c>
      <c r="E773" s="1" t="s">
        <v>2970</v>
      </c>
      <c r="F773" s="1" t="str">
        <f>"37024    "</f>
        <v xml:space="preserve">37024    </v>
      </c>
      <c r="G773" s="1" t="str">
        <f>"6153771300"</f>
        <v>6153771300</v>
      </c>
      <c r="H773" s="1" t="s">
        <v>2637</v>
      </c>
    </row>
    <row r="774" spans="1:8" x14ac:dyDescent="0.25">
      <c r="A774" s="1" t="str">
        <f>"896  "</f>
        <v xml:space="preserve">896  </v>
      </c>
      <c r="B774" s="1" t="s">
        <v>3271</v>
      </c>
      <c r="C774" s="1" t="str">
        <f>"4 TERRY DRIVE, STE 1                              "</f>
        <v xml:space="preserve">4 TERRY DRIVE, STE 1                              </v>
      </c>
      <c r="D774" s="1" t="s">
        <v>3272</v>
      </c>
      <c r="E774" s="1" t="s">
        <v>2697</v>
      </c>
      <c r="F774" s="1" t="str">
        <f>"18940    "</f>
        <v xml:space="preserve">18940    </v>
      </c>
      <c r="G774" s="1" t="str">
        <f>"8004828770"</f>
        <v>8004828770</v>
      </c>
      <c r="H774" s="1" t="s">
        <v>2637</v>
      </c>
    </row>
    <row r="775" spans="1:8" x14ac:dyDescent="0.25">
      <c r="A775" s="1" t="str">
        <f>"897  "</f>
        <v xml:space="preserve">897  </v>
      </c>
      <c r="B775" s="1" t="s">
        <v>2476</v>
      </c>
      <c r="C775" s="1" t="str">
        <f>"5305 VIRGINIA BEACH BLVD                          "</f>
        <v xml:space="preserve">5305 VIRGINIA BEACH BLVD                          </v>
      </c>
      <c r="D775" s="1" t="s">
        <v>2477</v>
      </c>
      <c r="E775" s="1" t="s">
        <v>3164</v>
      </c>
      <c r="F775" s="1" t="str">
        <f>"23502    "</f>
        <v xml:space="preserve">23502    </v>
      </c>
      <c r="G775" s="1" t="str">
        <f>"7574618091"</f>
        <v>7574618091</v>
      </c>
      <c r="H775" s="1" t="s">
        <v>2637</v>
      </c>
    </row>
    <row r="776" spans="1:8" x14ac:dyDescent="0.25">
      <c r="A776" s="1" t="str">
        <f>"898  "</f>
        <v xml:space="preserve">898  </v>
      </c>
      <c r="B776" s="1" t="s">
        <v>1402</v>
      </c>
      <c r="C776" s="1" t="s">
        <v>1403</v>
      </c>
      <c r="D776" s="1" t="s">
        <v>2755</v>
      </c>
      <c r="E776" s="1" t="s">
        <v>2647</v>
      </c>
      <c r="F776" s="1" t="str">
        <f>"20847    "</f>
        <v xml:space="preserve">20847    </v>
      </c>
      <c r="G776" s="1" t="str">
        <f>"8006382610"</f>
        <v>8006382610</v>
      </c>
      <c r="H776" s="1" t="s">
        <v>2637</v>
      </c>
    </row>
    <row r="777" spans="1:8" x14ac:dyDescent="0.25">
      <c r="A777" s="1" t="str">
        <f>"899  "</f>
        <v xml:space="preserve">899  </v>
      </c>
      <c r="B777" s="1" t="s">
        <v>1941</v>
      </c>
      <c r="C777" s="1" t="str">
        <f>"3 CENTERVIEW DRIVE                                "</f>
        <v xml:space="preserve">3 CENTERVIEW DRIVE                                </v>
      </c>
      <c r="D777" s="1" t="s">
        <v>2058</v>
      </c>
      <c r="E777" s="1" t="s">
        <v>2677</v>
      </c>
      <c r="F777" s="1" t="str">
        <f>"27407    "</f>
        <v xml:space="preserve">27407    </v>
      </c>
      <c r="G777" s="1" t="str">
        <f>"8004591466"</f>
        <v>8004591466</v>
      </c>
      <c r="H777" s="1" t="s">
        <v>1942</v>
      </c>
    </row>
    <row r="778" spans="1:8" x14ac:dyDescent="0.25">
      <c r="A778" s="1" t="str">
        <f>"900  "</f>
        <v xml:space="preserve">900  </v>
      </c>
      <c r="B778" s="1" t="s">
        <v>592</v>
      </c>
      <c r="C778" s="1" t="str">
        <f>"444 HIGHLAND DRIVE                                "</f>
        <v xml:space="preserve">444 HIGHLAND DRIVE                                </v>
      </c>
      <c r="D778" s="1" t="s">
        <v>593</v>
      </c>
      <c r="E778" s="1" t="s">
        <v>2667</v>
      </c>
      <c r="F778" s="1" t="str">
        <f>"530441515"</f>
        <v>530441515</v>
      </c>
      <c r="G778" s="1" t="str">
        <f>"9204574441"</f>
        <v>9204574441</v>
      </c>
      <c r="H778" s="1" t="s">
        <v>2637</v>
      </c>
    </row>
    <row r="779" spans="1:8" x14ac:dyDescent="0.25">
      <c r="A779" s="1" t="str">
        <f>"901  "</f>
        <v xml:space="preserve">901  </v>
      </c>
      <c r="B779" s="1" t="s">
        <v>880</v>
      </c>
      <c r="C779" s="1" t="str">
        <f>"100 CROWNE POINT PLACE                            "</f>
        <v xml:space="preserve">100 CROWNE POINT PLACE                            </v>
      </c>
      <c r="D779" s="1" t="s">
        <v>3070</v>
      </c>
      <c r="E779" s="1" t="s">
        <v>2714</v>
      </c>
      <c r="F779" s="1" t="str">
        <f>"45241    "</f>
        <v xml:space="preserve">45241    </v>
      </c>
      <c r="G779" s="1" t="str">
        <f>"8003679466"</f>
        <v>8003679466</v>
      </c>
      <c r="H779" s="1" t="s">
        <v>2637</v>
      </c>
    </row>
    <row r="780" spans="1:8" x14ac:dyDescent="0.25">
      <c r="A780" s="1" t="str">
        <f>"902  "</f>
        <v xml:space="preserve">902  </v>
      </c>
      <c r="B780" s="1" t="s">
        <v>3099</v>
      </c>
      <c r="C780" s="1" t="s">
        <v>3100</v>
      </c>
      <c r="D780" s="1" t="s">
        <v>3101</v>
      </c>
      <c r="E780" s="1" t="s">
        <v>2644</v>
      </c>
      <c r="F780" s="1" t="str">
        <f>"49516    "</f>
        <v xml:space="preserve">49516    </v>
      </c>
      <c r="G780" s="1" t="str">
        <f>"8006588878"</f>
        <v>8006588878</v>
      </c>
      <c r="H780" s="1" t="s">
        <v>3102</v>
      </c>
    </row>
    <row r="781" spans="1:8" x14ac:dyDescent="0.25">
      <c r="A781" s="1" t="str">
        <f>"903  "</f>
        <v xml:space="preserve">903  </v>
      </c>
      <c r="B781" s="1" t="s">
        <v>300</v>
      </c>
      <c r="C781" s="1" t="s">
        <v>301</v>
      </c>
      <c r="D781" s="1" t="s">
        <v>2981</v>
      </c>
      <c r="E781" s="1" t="s">
        <v>2832</v>
      </c>
      <c r="F781" s="1" t="str">
        <f>"336313286"</f>
        <v>336313286</v>
      </c>
      <c r="G781" s="1" t="str">
        <f>"8008674445"</f>
        <v>8008674445</v>
      </c>
      <c r="H781" s="1" t="s">
        <v>2760</v>
      </c>
    </row>
    <row r="782" spans="1:8" x14ac:dyDescent="0.25">
      <c r="A782" s="1" t="str">
        <f>"904  "</f>
        <v xml:space="preserve">904  </v>
      </c>
      <c r="B782" s="1" t="s">
        <v>2599</v>
      </c>
      <c r="C782" s="1" t="s">
        <v>2600</v>
      </c>
      <c r="D782" s="1" t="s">
        <v>2601</v>
      </c>
      <c r="E782" s="1" t="s">
        <v>2832</v>
      </c>
      <c r="F782" s="1" t="str">
        <f>"33335    "</f>
        <v xml:space="preserve">33335    </v>
      </c>
      <c r="G782" s="1" t="str">
        <f>"8008674446"</f>
        <v>8008674446</v>
      </c>
      <c r="H782" s="1" t="s">
        <v>2637</v>
      </c>
    </row>
    <row r="783" spans="1:8" x14ac:dyDescent="0.25">
      <c r="A783" s="1" t="str">
        <f>"905  "</f>
        <v xml:space="preserve">905  </v>
      </c>
      <c r="B783" s="1" t="s">
        <v>2889</v>
      </c>
      <c r="C783" s="1" t="s">
        <v>2890</v>
      </c>
      <c r="D783" s="1" t="s">
        <v>2891</v>
      </c>
      <c r="E783" s="1" t="s">
        <v>2862</v>
      </c>
      <c r="F783" s="1" t="str">
        <f>"68103    "</f>
        <v xml:space="preserve">68103    </v>
      </c>
      <c r="G783" s="1" t="str">
        <f>"8776565425"</f>
        <v>8776565425</v>
      </c>
      <c r="H783" s="1" t="s">
        <v>2760</v>
      </c>
    </row>
    <row r="784" spans="1:8" x14ac:dyDescent="0.25">
      <c r="A784" s="1" t="str">
        <f>"906  "</f>
        <v xml:space="preserve">906  </v>
      </c>
      <c r="B784" s="1" t="s">
        <v>2436</v>
      </c>
      <c r="C784" s="1" t="s">
        <v>2437</v>
      </c>
      <c r="D784" s="1" t="s">
        <v>2906</v>
      </c>
      <c r="E784" s="1" t="s">
        <v>2677</v>
      </c>
      <c r="F784" s="1" t="str">
        <f>"282071018"</f>
        <v>282071018</v>
      </c>
      <c r="G784" s="1" t="str">
        <f>"8002225790"</f>
        <v>8002225790</v>
      </c>
      <c r="H784" s="1" t="s">
        <v>2637</v>
      </c>
    </row>
    <row r="785" spans="1:8" x14ac:dyDescent="0.25">
      <c r="A785" s="1" t="str">
        <f>"907  "</f>
        <v xml:space="preserve">907  </v>
      </c>
      <c r="B785" s="1" t="s">
        <v>1374</v>
      </c>
      <c r="C785" s="1" t="s">
        <v>1375</v>
      </c>
      <c r="D785" s="1" t="s">
        <v>2939</v>
      </c>
      <c r="E785" s="1" t="s">
        <v>2667</v>
      </c>
      <c r="F785" s="1" t="str">
        <f>"53744    "</f>
        <v xml:space="preserve">53744    </v>
      </c>
      <c r="G785" s="1" t="str">
        <f>"8007662525"</f>
        <v>8007662525</v>
      </c>
      <c r="H785" s="1" t="s">
        <v>2637</v>
      </c>
    </row>
    <row r="786" spans="1:8" x14ac:dyDescent="0.25">
      <c r="A786" s="1" t="str">
        <f>"909  "</f>
        <v xml:space="preserve">909  </v>
      </c>
      <c r="B786" s="1" t="s">
        <v>1007</v>
      </c>
      <c r="C786" s="1" t="s">
        <v>1008</v>
      </c>
      <c r="D786" s="1" t="s">
        <v>3085</v>
      </c>
      <c r="E786" s="1" t="s">
        <v>3086</v>
      </c>
      <c r="F786" s="1" t="str">
        <f>"35238    "</f>
        <v xml:space="preserve">35238    </v>
      </c>
      <c r="G786" s="1" t="str">
        <f>"8007228477"</f>
        <v>8007228477</v>
      </c>
      <c r="H786" s="1" t="s">
        <v>2637</v>
      </c>
    </row>
    <row r="787" spans="1:8" x14ac:dyDescent="0.25">
      <c r="A787" s="1" t="str">
        <f>"910  "</f>
        <v xml:space="preserve">910  </v>
      </c>
      <c r="B787" s="1" t="s">
        <v>2321</v>
      </c>
      <c r="C787" s="1" t="s">
        <v>2322</v>
      </c>
      <c r="D787" s="1" t="s">
        <v>2323</v>
      </c>
      <c r="E787" s="1" t="s">
        <v>2786</v>
      </c>
      <c r="F787" s="1" t="str">
        <f>"605325227"</f>
        <v>605325227</v>
      </c>
      <c r="G787" s="1" t="str">
        <f>"8003545112"</f>
        <v>8003545112</v>
      </c>
      <c r="H787" s="1" t="s">
        <v>416</v>
      </c>
    </row>
    <row r="788" spans="1:8" x14ac:dyDescent="0.25">
      <c r="A788" s="1" t="str">
        <f>"911  "</f>
        <v xml:space="preserve">911  </v>
      </c>
      <c r="B788" s="1" t="s">
        <v>1411</v>
      </c>
      <c r="C788" s="1" t="s">
        <v>1412</v>
      </c>
      <c r="D788" s="1" t="s">
        <v>2616</v>
      </c>
      <c r="E788" s="1" t="s">
        <v>2660</v>
      </c>
      <c r="F788" s="1" t="str">
        <f>"29304    "</f>
        <v xml:space="preserve">29304    </v>
      </c>
      <c r="G788" s="1" t="str">
        <f>"8889628437"</f>
        <v>8889628437</v>
      </c>
      <c r="H788" s="1" t="s">
        <v>2760</v>
      </c>
    </row>
    <row r="789" spans="1:8" x14ac:dyDescent="0.25">
      <c r="A789" s="1" t="str">
        <f>"912  "</f>
        <v xml:space="preserve">912  </v>
      </c>
      <c r="B789" s="1" t="s">
        <v>1042</v>
      </c>
      <c r="C789" s="1" t="s">
        <v>1043</v>
      </c>
      <c r="D789" s="1" t="s">
        <v>1044</v>
      </c>
      <c r="E789" s="1" t="s">
        <v>2677</v>
      </c>
      <c r="F789" s="1" t="str">
        <f>"28302    "</f>
        <v xml:space="preserve">28302    </v>
      </c>
      <c r="G789" s="1" t="str">
        <f>"8003376288"</f>
        <v>8003376288</v>
      </c>
      <c r="H789" s="1" t="s">
        <v>2637</v>
      </c>
    </row>
    <row r="790" spans="1:8" x14ac:dyDescent="0.25">
      <c r="A790" s="1" t="str">
        <f>"913  "</f>
        <v xml:space="preserve">913  </v>
      </c>
      <c r="B790" s="1" t="s">
        <v>3255</v>
      </c>
      <c r="C790" s="1" t="s">
        <v>3256</v>
      </c>
      <c r="D790" s="1" t="s">
        <v>3257</v>
      </c>
      <c r="E790" s="1" t="s">
        <v>2832</v>
      </c>
      <c r="F790" s="1" t="str">
        <f>"328536847"</f>
        <v>328536847</v>
      </c>
      <c r="G790" s="1" t="str">
        <f>"8007414810"</f>
        <v>8007414810</v>
      </c>
      <c r="H790" s="1" t="s">
        <v>2637</v>
      </c>
    </row>
    <row r="791" spans="1:8" x14ac:dyDescent="0.25">
      <c r="A791" s="1" t="str">
        <f>"914  "</f>
        <v xml:space="preserve">914  </v>
      </c>
      <c r="B791" s="1" t="s">
        <v>1852</v>
      </c>
      <c r="C791" s="1" t="s">
        <v>1853</v>
      </c>
      <c r="D791" s="1" t="s">
        <v>1854</v>
      </c>
      <c r="E791" s="1" t="s">
        <v>2636</v>
      </c>
      <c r="F791" s="1" t="str">
        <f>"75001    "</f>
        <v xml:space="preserve">75001    </v>
      </c>
      <c r="G791" s="1" t="str">
        <f>"8886716771"</f>
        <v>8886716771</v>
      </c>
      <c r="H791" s="1" t="s">
        <v>2637</v>
      </c>
    </row>
    <row r="792" spans="1:8" x14ac:dyDescent="0.25">
      <c r="A792" s="1" t="str">
        <f>"915  "</f>
        <v xml:space="preserve">915  </v>
      </c>
      <c r="B792" s="1" t="s">
        <v>4</v>
      </c>
      <c r="C792" s="1" t="s">
        <v>5</v>
      </c>
      <c r="D792" s="1" t="s">
        <v>2906</v>
      </c>
      <c r="E792" s="1" t="s">
        <v>2677</v>
      </c>
      <c r="F792" s="1" t="str">
        <f>"28208    "</f>
        <v xml:space="preserve">28208    </v>
      </c>
      <c r="G792" s="1" t="str">
        <f>"7043555200"</f>
        <v>7043555200</v>
      </c>
      <c r="H792" s="1" t="s">
        <v>2637</v>
      </c>
    </row>
    <row r="793" spans="1:8" x14ac:dyDescent="0.25">
      <c r="A793" s="1" t="str">
        <f>"916  "</f>
        <v xml:space="preserve">916  </v>
      </c>
      <c r="B793" s="1" t="s">
        <v>2633</v>
      </c>
      <c r="C793" s="1" t="s">
        <v>2634</v>
      </c>
      <c r="D793" s="1" t="s">
        <v>2635</v>
      </c>
      <c r="E793" s="1" t="s">
        <v>2636</v>
      </c>
      <c r="F793" s="1" t="str">
        <f>"77274    "</f>
        <v xml:space="preserve">77274    </v>
      </c>
      <c r="G793" s="1" t="str">
        <f>"8886425040"</f>
        <v>8886425040</v>
      </c>
      <c r="H793" s="1" t="s">
        <v>2637</v>
      </c>
    </row>
    <row r="794" spans="1:8" x14ac:dyDescent="0.25">
      <c r="A794" s="1" t="str">
        <f>"919  "</f>
        <v xml:space="preserve">919  </v>
      </c>
      <c r="B794" s="1" t="s">
        <v>193</v>
      </c>
      <c r="C794" s="1" t="s">
        <v>1366</v>
      </c>
      <c r="D794" s="1" t="s">
        <v>194</v>
      </c>
      <c r="E794" s="1" t="s">
        <v>2714</v>
      </c>
      <c r="F794" s="1" t="str">
        <f>"43537    "</f>
        <v xml:space="preserve">43537    </v>
      </c>
      <c r="G794" s="1" t="str">
        <f>"8008728276"</f>
        <v>8008728276</v>
      </c>
      <c r="H794" s="1" t="s">
        <v>2637</v>
      </c>
    </row>
    <row r="795" spans="1:8" x14ac:dyDescent="0.25">
      <c r="A795" s="1" t="str">
        <f>"920  "</f>
        <v xml:space="preserve">920  </v>
      </c>
      <c r="B795" s="1" t="s">
        <v>2529</v>
      </c>
      <c r="C795" s="1" t="s">
        <v>2530</v>
      </c>
      <c r="D795" s="1" t="s">
        <v>2531</v>
      </c>
      <c r="E795" s="1" t="s">
        <v>2636</v>
      </c>
      <c r="F795" s="1" t="str">
        <f>"794533010"</f>
        <v>794533010</v>
      </c>
      <c r="G795" s="1" t="str">
        <f>"8064732500"</f>
        <v>8064732500</v>
      </c>
      <c r="H795" s="1" t="s">
        <v>2637</v>
      </c>
    </row>
    <row r="796" spans="1:8" x14ac:dyDescent="0.25">
      <c r="A796" s="1" t="str">
        <f>"922  "</f>
        <v xml:space="preserve">922  </v>
      </c>
      <c r="B796" s="1" t="s">
        <v>1158</v>
      </c>
      <c r="C796" s="1" t="s">
        <v>1159</v>
      </c>
      <c r="D796" s="1" t="s">
        <v>2701</v>
      </c>
      <c r="E796" s="1" t="s">
        <v>2660</v>
      </c>
      <c r="F796" s="1" t="str">
        <f>"292606170"</f>
        <v>292606170</v>
      </c>
      <c r="G796" s="1" t="str">
        <f>"8037868466"</f>
        <v>8037868466</v>
      </c>
      <c r="H796" s="1" t="s">
        <v>1160</v>
      </c>
    </row>
    <row r="797" spans="1:8" x14ac:dyDescent="0.25">
      <c r="A797" s="1" t="str">
        <f>"923  "</f>
        <v xml:space="preserve">923  </v>
      </c>
      <c r="B797" s="1" t="s">
        <v>1152</v>
      </c>
      <c r="C797" s="1" t="s">
        <v>2916</v>
      </c>
      <c r="D797" s="1" t="s">
        <v>2701</v>
      </c>
      <c r="E797" s="1" t="s">
        <v>2660</v>
      </c>
      <c r="F797" s="1" t="str">
        <f>"292606170"</f>
        <v>292606170</v>
      </c>
      <c r="G797" s="1" t="str">
        <f>"8008682528"</f>
        <v>8008682528</v>
      </c>
      <c r="H797" s="1" t="s">
        <v>8</v>
      </c>
    </row>
    <row r="798" spans="1:8" x14ac:dyDescent="0.25">
      <c r="A798" s="1" t="str">
        <f>"927  "</f>
        <v xml:space="preserve">927  </v>
      </c>
      <c r="B798" s="1" t="s">
        <v>540</v>
      </c>
      <c r="C798" s="1" t="s">
        <v>541</v>
      </c>
      <c r="D798" s="1" t="s">
        <v>1154</v>
      </c>
      <c r="E798" s="1" t="s">
        <v>2773</v>
      </c>
      <c r="F798" s="1" t="str">
        <f>"102425230"</f>
        <v>102425230</v>
      </c>
      <c r="G798" s="1" t="str">
        <f>"8002246602"</f>
        <v>8002246602</v>
      </c>
      <c r="H798" s="1" t="s">
        <v>2637</v>
      </c>
    </row>
    <row r="799" spans="1:8" x14ac:dyDescent="0.25">
      <c r="A799" s="1" t="str">
        <f>"928  "</f>
        <v xml:space="preserve">928  </v>
      </c>
      <c r="B799" s="1" t="s">
        <v>104</v>
      </c>
      <c r="C799" s="1" t="s">
        <v>105</v>
      </c>
      <c r="D799" s="1" t="s">
        <v>106</v>
      </c>
      <c r="E799" s="1" t="s">
        <v>2706</v>
      </c>
      <c r="F799" s="1" t="str">
        <f>"47402    "</f>
        <v xml:space="preserve">47402    </v>
      </c>
      <c r="G799" s="1" t="str">
        <f>"8005932080"</f>
        <v>8005932080</v>
      </c>
      <c r="H799" s="1" t="s">
        <v>2637</v>
      </c>
    </row>
    <row r="800" spans="1:8" x14ac:dyDescent="0.25">
      <c r="A800" s="1" t="str">
        <f>"929  "</f>
        <v xml:space="preserve">929  </v>
      </c>
      <c r="B800" s="1" t="s">
        <v>3119</v>
      </c>
      <c r="C800" s="1" t="s">
        <v>3120</v>
      </c>
      <c r="D800" s="1" t="s">
        <v>3121</v>
      </c>
      <c r="E800" s="1" t="s">
        <v>2636</v>
      </c>
      <c r="F800" s="1" t="str">
        <f>"752619999"</f>
        <v>752619999</v>
      </c>
      <c r="G800" s="1" t="str">
        <f>"8002371900"</f>
        <v>8002371900</v>
      </c>
      <c r="H800" s="1" t="s">
        <v>2637</v>
      </c>
    </row>
    <row r="801" spans="1:8" x14ac:dyDescent="0.25">
      <c r="A801" s="1" t="str">
        <f>"930  "</f>
        <v xml:space="preserve">930  </v>
      </c>
      <c r="B801" s="1" t="s">
        <v>2458</v>
      </c>
      <c r="C801" s="1" t="s">
        <v>2459</v>
      </c>
      <c r="D801" s="1" t="s">
        <v>2460</v>
      </c>
      <c r="E801" s="1" t="s">
        <v>2667</v>
      </c>
      <c r="F801" s="1" t="str">
        <f>"54481    "</f>
        <v xml:space="preserve">54481    </v>
      </c>
      <c r="G801" s="1" t="str">
        <f>"8004267234"</f>
        <v>8004267234</v>
      </c>
      <c r="H801" s="1" t="s">
        <v>2637</v>
      </c>
    </row>
    <row r="802" spans="1:8" x14ac:dyDescent="0.25">
      <c r="A802" s="1" t="str">
        <f>"931  "</f>
        <v xml:space="preserve">931  </v>
      </c>
      <c r="B802" s="1" t="s">
        <v>2574</v>
      </c>
      <c r="C802" s="1" t="str">
        <f>"5151 WEST HWY 40                                  "</f>
        <v xml:space="preserve">5151 WEST HWY 40                                  </v>
      </c>
      <c r="D802" s="1" t="s">
        <v>2575</v>
      </c>
      <c r="E802" s="1" t="s">
        <v>2706</v>
      </c>
      <c r="F802" s="1" t="str">
        <f>"46140    "</f>
        <v xml:space="preserve">46140    </v>
      </c>
      <c r="G802" s="1" t="str">
        <f>"3178942000"</f>
        <v>3178942000</v>
      </c>
      <c r="H802" s="1" t="s">
        <v>2637</v>
      </c>
    </row>
    <row r="803" spans="1:8" x14ac:dyDescent="0.25">
      <c r="A803" s="1" t="str">
        <f>"932  "</f>
        <v xml:space="preserve">932  </v>
      </c>
      <c r="B803" s="1" t="s">
        <v>662</v>
      </c>
      <c r="C803" s="1" t="s">
        <v>663</v>
      </c>
      <c r="D803" s="1" t="s">
        <v>2635</v>
      </c>
      <c r="E803" s="1" t="s">
        <v>2636</v>
      </c>
      <c r="F803" s="1" t="str">
        <f>"772925309"</f>
        <v>772925309</v>
      </c>
      <c r="G803" s="1" t="str">
        <f>"8006699030"</f>
        <v>8006699030</v>
      </c>
      <c r="H803" s="1" t="s">
        <v>451</v>
      </c>
    </row>
    <row r="804" spans="1:8" x14ac:dyDescent="0.25">
      <c r="A804" s="1" t="str">
        <f>"933  "</f>
        <v xml:space="preserve">933  </v>
      </c>
      <c r="B804" s="1" t="s">
        <v>2556</v>
      </c>
      <c r="C804" s="1" t="str">
        <f>"620 HOWARD AVE                                    "</f>
        <v xml:space="preserve">620 HOWARD AVE                                    </v>
      </c>
      <c r="D804" s="1" t="s">
        <v>2557</v>
      </c>
      <c r="E804" s="1" t="s">
        <v>2697</v>
      </c>
      <c r="F804" s="1" t="str">
        <f>"166014899"</f>
        <v>166014899</v>
      </c>
      <c r="G804" s="1" t="s">
        <v>2637</v>
      </c>
      <c r="H804" s="1" t="s">
        <v>2688</v>
      </c>
    </row>
    <row r="805" spans="1:8" x14ac:dyDescent="0.25">
      <c r="A805" s="1" t="str">
        <f>"934  "</f>
        <v xml:space="preserve">934  </v>
      </c>
      <c r="B805" s="1" t="s">
        <v>0</v>
      </c>
      <c r="C805" s="1" t="s">
        <v>1403</v>
      </c>
      <c r="D805" s="1" t="s">
        <v>2755</v>
      </c>
      <c r="E805" s="1" t="s">
        <v>2647</v>
      </c>
      <c r="F805" s="1" t="str">
        <f>"20847    "</f>
        <v xml:space="preserve">20847    </v>
      </c>
      <c r="G805" s="1" t="str">
        <f>"8006382610"</f>
        <v>8006382610</v>
      </c>
      <c r="H805" s="1" t="s">
        <v>2637</v>
      </c>
    </row>
    <row r="806" spans="1:8" x14ac:dyDescent="0.25">
      <c r="A806" s="1" t="str">
        <f>"936  "</f>
        <v xml:space="preserve">936  </v>
      </c>
      <c r="B806" s="1" t="s">
        <v>2738</v>
      </c>
      <c r="C806" s="1" t="s">
        <v>2739</v>
      </c>
      <c r="D806" s="1" t="s">
        <v>2740</v>
      </c>
      <c r="E806" s="1" t="s">
        <v>2660</v>
      </c>
      <c r="F806" s="1" t="str">
        <f>"297161279"</f>
        <v>297161279</v>
      </c>
      <c r="G806" s="1" t="str">
        <f>"8005916764"</f>
        <v>8005916764</v>
      </c>
      <c r="H806" s="1" t="s">
        <v>2688</v>
      </c>
    </row>
    <row r="807" spans="1:8" x14ac:dyDescent="0.25">
      <c r="A807" s="1" t="str">
        <f>"937  "</f>
        <v xml:space="preserve">937  </v>
      </c>
      <c r="B807" s="1" t="s">
        <v>3219</v>
      </c>
      <c r="C807" s="1" t="s">
        <v>3220</v>
      </c>
      <c r="D807" s="1" t="s">
        <v>3221</v>
      </c>
      <c r="E807" s="1" t="s">
        <v>2773</v>
      </c>
      <c r="F807" s="1" t="str">
        <f>"12301    "</f>
        <v xml:space="preserve">12301    </v>
      </c>
      <c r="G807" s="1" t="str">
        <f>"8002295851"</f>
        <v>8002295851</v>
      </c>
      <c r="H807" s="1" t="s">
        <v>3222</v>
      </c>
    </row>
    <row r="808" spans="1:8" x14ac:dyDescent="0.25">
      <c r="A808" s="1" t="str">
        <f>"939  "</f>
        <v xml:space="preserve">939  </v>
      </c>
      <c r="B808" s="1" t="s">
        <v>2416</v>
      </c>
      <c r="C808" s="1" t="s">
        <v>2417</v>
      </c>
      <c r="D808" s="1" t="s">
        <v>2701</v>
      </c>
      <c r="E808" s="1" t="s">
        <v>2660</v>
      </c>
      <c r="F808" s="1" t="str">
        <f>"292021640"</f>
        <v>292021640</v>
      </c>
      <c r="G808" s="1" t="str">
        <f>"8032968999"</f>
        <v>8032968999</v>
      </c>
      <c r="H808" s="1" t="s">
        <v>2688</v>
      </c>
    </row>
    <row r="809" spans="1:8" x14ac:dyDescent="0.25">
      <c r="A809" s="1" t="str">
        <f>"940  "</f>
        <v xml:space="preserve">940  </v>
      </c>
      <c r="B809" s="1" t="s">
        <v>1644</v>
      </c>
      <c r="C809" s="1" t="s">
        <v>1645</v>
      </c>
      <c r="D809" s="1" t="s">
        <v>2959</v>
      </c>
      <c r="E809" s="1" t="s">
        <v>2786</v>
      </c>
      <c r="F809" s="1" t="str">
        <f>"600172914"</f>
        <v>600172914</v>
      </c>
      <c r="G809" s="1" t="str">
        <f>"8005317662"</f>
        <v>8005317662</v>
      </c>
      <c r="H809" s="1" t="s">
        <v>1646</v>
      </c>
    </row>
    <row r="810" spans="1:8" x14ac:dyDescent="0.25">
      <c r="A810" s="1" t="str">
        <f>"941  "</f>
        <v xml:space="preserve">941  </v>
      </c>
      <c r="B810" s="1" t="s">
        <v>867</v>
      </c>
      <c r="C810" s="1" t="str">
        <f>"419 E MAIN ST                                     "</f>
        <v xml:space="preserve">419 E MAIN ST                                     </v>
      </c>
      <c r="D810" s="1" t="s">
        <v>868</v>
      </c>
      <c r="E810" s="1" t="s">
        <v>2773</v>
      </c>
      <c r="F810" s="1" t="str">
        <f>"10940    "</f>
        <v xml:space="preserve">10940    </v>
      </c>
      <c r="G810" s="1" t="str">
        <f>"8008267531"</f>
        <v>8008267531</v>
      </c>
      <c r="H810" s="1" t="s">
        <v>859</v>
      </c>
    </row>
    <row r="811" spans="1:8" x14ac:dyDescent="0.25">
      <c r="A811" s="1" t="str">
        <f>"942  "</f>
        <v xml:space="preserve">942  </v>
      </c>
      <c r="B811" s="1" t="s">
        <v>21</v>
      </c>
      <c r="C811" s="1" t="s">
        <v>22</v>
      </c>
      <c r="D811" s="1" t="s">
        <v>2442</v>
      </c>
      <c r="E811" s="1" t="s">
        <v>3264</v>
      </c>
      <c r="F811" s="1" t="str">
        <f>"503060357"</f>
        <v>503060357</v>
      </c>
      <c r="G811" s="1" t="str">
        <f>"8002474695"</f>
        <v>8002474695</v>
      </c>
      <c r="H811" s="1" t="s">
        <v>2637</v>
      </c>
    </row>
    <row r="812" spans="1:8" x14ac:dyDescent="0.25">
      <c r="A812" s="1" t="str">
        <f>"943  "</f>
        <v xml:space="preserve">943  </v>
      </c>
      <c r="B812" s="1" t="s">
        <v>2119</v>
      </c>
      <c r="C812" s="1" t="str">
        <f>"5 HUTCHINSON DR                                   "</f>
        <v xml:space="preserve">5 HUTCHINSON DR                                   </v>
      </c>
      <c r="D812" s="1" t="s">
        <v>2120</v>
      </c>
      <c r="E812" s="1" t="s">
        <v>3118</v>
      </c>
      <c r="F812" s="1" t="str">
        <f>"01923    "</f>
        <v xml:space="preserve">01923    </v>
      </c>
      <c r="G812" s="1" t="str">
        <f>"8889994767"</f>
        <v>8889994767</v>
      </c>
      <c r="H812" s="1" t="s">
        <v>2735</v>
      </c>
    </row>
    <row r="813" spans="1:8" x14ac:dyDescent="0.25">
      <c r="A813" s="1" t="str">
        <f>"945  "</f>
        <v xml:space="preserve">945  </v>
      </c>
      <c r="B813" s="1" t="s">
        <v>274</v>
      </c>
      <c r="C813" s="1" t="s">
        <v>275</v>
      </c>
      <c r="D813" s="1" t="s">
        <v>3013</v>
      </c>
      <c r="E813" s="1" t="s">
        <v>2660</v>
      </c>
      <c r="F813" s="1" t="str">
        <f>"29413    "</f>
        <v xml:space="preserve">29413    </v>
      </c>
      <c r="G813" s="1" t="str">
        <f>"8008100906"</f>
        <v>8008100906</v>
      </c>
      <c r="H813" s="1" t="s">
        <v>2240</v>
      </c>
    </row>
    <row r="814" spans="1:8" x14ac:dyDescent="0.25">
      <c r="A814" s="1" t="str">
        <f>"946  "</f>
        <v xml:space="preserve">946  </v>
      </c>
      <c r="B814" s="1" t="s">
        <v>2310</v>
      </c>
      <c r="C814" s="1" t="s">
        <v>2311</v>
      </c>
      <c r="D814" s="1" t="s">
        <v>2910</v>
      </c>
      <c r="E814" s="1" t="s">
        <v>2681</v>
      </c>
      <c r="F814" s="1" t="str">
        <f>"31799    "</f>
        <v xml:space="preserve">31799    </v>
      </c>
      <c r="G814" s="1" t="str">
        <f>"8668478235"</f>
        <v>8668478235</v>
      </c>
      <c r="H814" s="1" t="s">
        <v>2637</v>
      </c>
    </row>
    <row r="815" spans="1:8" x14ac:dyDescent="0.25">
      <c r="A815" s="1" t="str">
        <f>"948  "</f>
        <v xml:space="preserve">948  </v>
      </c>
      <c r="B815" s="1" t="s">
        <v>716</v>
      </c>
      <c r="C815" s="1" t="s">
        <v>717</v>
      </c>
      <c r="D815" s="1" t="s">
        <v>2635</v>
      </c>
      <c r="E815" s="1" t="s">
        <v>2636</v>
      </c>
      <c r="F815" s="1" t="str">
        <f>"77252    "</f>
        <v xml:space="preserve">77252    </v>
      </c>
      <c r="G815" s="1" t="str">
        <f>"8005527879"</f>
        <v>8005527879</v>
      </c>
      <c r="H815" s="1" t="s">
        <v>2637</v>
      </c>
    </row>
    <row r="816" spans="1:8" x14ac:dyDescent="0.25">
      <c r="A816" s="1" t="str">
        <f>"951  "</f>
        <v xml:space="preserve">951  </v>
      </c>
      <c r="B816" s="1" t="s">
        <v>1503</v>
      </c>
      <c r="C816" s="1" t="str">
        <f>"101 CONVENTION CENTER DR. STE. 200                "</f>
        <v xml:space="preserve">101 CONVENTION CENTER DR. STE. 200                </v>
      </c>
      <c r="D816" s="1" t="s">
        <v>2195</v>
      </c>
      <c r="E816" s="1" t="s">
        <v>2862</v>
      </c>
      <c r="F816" s="1" t="str">
        <f>"89109    "</f>
        <v xml:space="preserve">89109    </v>
      </c>
      <c r="G816" s="1" t="str">
        <f>"8008424742"</f>
        <v>8008424742</v>
      </c>
      <c r="H816" s="1" t="s">
        <v>2637</v>
      </c>
    </row>
    <row r="817" spans="1:8" x14ac:dyDescent="0.25">
      <c r="A817" s="1" t="str">
        <f>"952  "</f>
        <v xml:space="preserve">952  </v>
      </c>
      <c r="B817" s="1" t="s">
        <v>841</v>
      </c>
      <c r="C817" s="1" t="s">
        <v>842</v>
      </c>
      <c r="D817" s="1" t="s">
        <v>1394</v>
      </c>
      <c r="E817" s="1" t="s">
        <v>2714</v>
      </c>
      <c r="F817" s="1" t="str">
        <f>"44224    "</f>
        <v xml:space="preserve">44224    </v>
      </c>
      <c r="G817" s="1" t="str">
        <f>"8004564002"</f>
        <v>8004564002</v>
      </c>
      <c r="H817" s="1" t="s">
        <v>2760</v>
      </c>
    </row>
    <row r="818" spans="1:8" x14ac:dyDescent="0.25">
      <c r="A818" s="1" t="str">
        <f>"953  "</f>
        <v xml:space="preserve">953  </v>
      </c>
      <c r="B818" s="1" t="s">
        <v>1987</v>
      </c>
      <c r="C818" s="1" t="str">
        <f>"7301 N. 16TH ST STE 201                           "</f>
        <v xml:space="preserve">7301 N. 16TH ST STE 201                           </v>
      </c>
      <c r="D818" s="1" t="s">
        <v>2808</v>
      </c>
      <c r="E818" s="1" t="s">
        <v>2809</v>
      </c>
      <c r="F818" s="1" t="str">
        <f>"85020    "</f>
        <v xml:space="preserve">85020    </v>
      </c>
      <c r="G818" s="1" t="str">
        <f>"8008723860"</f>
        <v>8008723860</v>
      </c>
      <c r="H818" s="1" t="s">
        <v>2688</v>
      </c>
    </row>
    <row r="819" spans="1:8" x14ac:dyDescent="0.25">
      <c r="A819" s="1" t="str">
        <f>"954  "</f>
        <v xml:space="preserve">954  </v>
      </c>
      <c r="B819" s="1" t="s">
        <v>240</v>
      </c>
      <c r="C819" s="1" t="str">
        <f>"115 5TH AVE                                       "</f>
        <v xml:space="preserve">115 5TH AVE                                       </v>
      </c>
      <c r="D819" s="1" t="s">
        <v>2772</v>
      </c>
      <c r="E819" s="1" t="s">
        <v>2773</v>
      </c>
      <c r="F819" s="1" t="str">
        <f>"100031004"</f>
        <v>100031004</v>
      </c>
      <c r="G819" s="1" t="str">
        <f>"8005463887"</f>
        <v>8005463887</v>
      </c>
      <c r="H819" s="1" t="s">
        <v>2637</v>
      </c>
    </row>
    <row r="820" spans="1:8" x14ac:dyDescent="0.25">
      <c r="A820" s="1" t="str">
        <f>"955  "</f>
        <v xml:space="preserve">955  </v>
      </c>
      <c r="B820" s="1" t="s">
        <v>1851</v>
      </c>
      <c r="C820" s="1" t="str">
        <f>"2814 SPRING RD. STE. 122                          "</f>
        <v xml:space="preserve">2814 SPRING RD. STE. 122                          </v>
      </c>
      <c r="D820" s="1" t="s">
        <v>2717</v>
      </c>
      <c r="E820" s="1" t="s">
        <v>2681</v>
      </c>
      <c r="F820" s="1" t="str">
        <f>"30339    "</f>
        <v xml:space="preserve">30339    </v>
      </c>
      <c r="G820" s="1" t="str">
        <f>"8006165709"</f>
        <v>8006165709</v>
      </c>
      <c r="H820" s="1" t="s">
        <v>2648</v>
      </c>
    </row>
    <row r="821" spans="1:8" x14ac:dyDescent="0.25">
      <c r="A821" s="1" t="str">
        <f>"958  "</f>
        <v xml:space="preserve">958  </v>
      </c>
      <c r="B821" s="1" t="s">
        <v>1488</v>
      </c>
      <c r="C821" s="1" t="s">
        <v>1489</v>
      </c>
      <c r="D821" s="1" t="s">
        <v>2680</v>
      </c>
      <c r="E821" s="1" t="s">
        <v>2681</v>
      </c>
      <c r="F821" s="1" t="str">
        <f>"31416    "</f>
        <v xml:space="preserve">31416    </v>
      </c>
      <c r="G821" s="1" t="str">
        <f>"9123527169"</f>
        <v>9123527169</v>
      </c>
      <c r="H821" s="1" t="s">
        <v>2637</v>
      </c>
    </row>
    <row r="822" spans="1:8" x14ac:dyDescent="0.25">
      <c r="A822" s="1" t="str">
        <f>"960  "</f>
        <v xml:space="preserve">960  </v>
      </c>
      <c r="B822" s="1" t="s">
        <v>448</v>
      </c>
      <c r="C822" s="1" t="s">
        <v>449</v>
      </c>
      <c r="D822" s="1" t="s">
        <v>450</v>
      </c>
      <c r="E822" s="1" t="s">
        <v>2667</v>
      </c>
      <c r="F822" s="1" t="str">
        <f>"541156090"</f>
        <v>541156090</v>
      </c>
      <c r="G822" s="1" t="str">
        <f>"8004355694"</f>
        <v>8004355694</v>
      </c>
      <c r="H822" s="1" t="s">
        <v>451</v>
      </c>
    </row>
    <row r="823" spans="1:8" x14ac:dyDescent="0.25">
      <c r="A823" s="1" t="str">
        <f>"961  "</f>
        <v xml:space="preserve">961  </v>
      </c>
      <c r="B823" s="1" t="s">
        <v>1037</v>
      </c>
      <c r="C823" s="1" t="s">
        <v>1038</v>
      </c>
      <c r="D823" s="1" t="s">
        <v>2195</v>
      </c>
      <c r="E823" s="1" t="s">
        <v>2196</v>
      </c>
      <c r="F823" s="1" t="str">
        <f>"89126    "</f>
        <v xml:space="preserve">89126    </v>
      </c>
      <c r="G823" s="1" t="str">
        <f>"8004584642"</f>
        <v>8004584642</v>
      </c>
      <c r="H823" s="1" t="s">
        <v>2688</v>
      </c>
    </row>
    <row r="824" spans="1:8" x14ac:dyDescent="0.25">
      <c r="A824" s="1" t="str">
        <f>"962  "</f>
        <v xml:space="preserve">962  </v>
      </c>
      <c r="B824" s="1" t="s">
        <v>998</v>
      </c>
      <c r="C824" s="1" t="s">
        <v>999</v>
      </c>
      <c r="D824" s="1" t="s">
        <v>1000</v>
      </c>
      <c r="E824" s="1" t="s">
        <v>3164</v>
      </c>
      <c r="F824" s="1" t="str">
        <f>"23439    "</f>
        <v xml:space="preserve">23439    </v>
      </c>
      <c r="G824" s="1" t="str">
        <f>"8779344403"</f>
        <v>8779344403</v>
      </c>
      <c r="H824" s="1" t="s">
        <v>2637</v>
      </c>
    </row>
    <row r="825" spans="1:8" x14ac:dyDescent="0.25">
      <c r="A825" s="1" t="str">
        <f>"963  "</f>
        <v xml:space="preserve">963  </v>
      </c>
      <c r="B825" s="1" t="s">
        <v>3223</v>
      </c>
      <c r="C825" s="1" t="s">
        <v>3224</v>
      </c>
      <c r="D825" s="1" t="s">
        <v>3225</v>
      </c>
      <c r="E825" s="1" t="s">
        <v>3226</v>
      </c>
      <c r="F825" s="1" t="str">
        <f>"030612083"</f>
        <v>030612083</v>
      </c>
      <c r="G825" s="1" t="str">
        <f>"8882014111"</f>
        <v>8882014111</v>
      </c>
      <c r="H825" s="1" t="s">
        <v>2637</v>
      </c>
    </row>
    <row r="826" spans="1:8" x14ac:dyDescent="0.25">
      <c r="A826" s="1" t="str">
        <f>"964  "</f>
        <v xml:space="preserve">964  </v>
      </c>
      <c r="B826" s="1" t="s">
        <v>1731</v>
      </c>
      <c r="C826" s="1" t="str">
        <f>"9343 TECH CENTER DR.                              "</f>
        <v xml:space="preserve">9343 TECH CENTER DR.                              </v>
      </c>
      <c r="D826" s="1" t="s">
        <v>1732</v>
      </c>
      <c r="E826" s="1" t="s">
        <v>2663</v>
      </c>
      <c r="F826" s="1" t="str">
        <f>"95826    "</f>
        <v xml:space="preserve">95826    </v>
      </c>
      <c r="G826" s="1" t="str">
        <f>"8007770074"</f>
        <v>8007770074</v>
      </c>
      <c r="H826" s="1" t="s">
        <v>2637</v>
      </c>
    </row>
    <row r="827" spans="1:8" x14ac:dyDescent="0.25">
      <c r="A827" s="1" t="str">
        <f>"965  "</f>
        <v xml:space="preserve">965  </v>
      </c>
      <c r="B827" s="1" t="s">
        <v>675</v>
      </c>
      <c r="C827" s="1" t="s">
        <v>676</v>
      </c>
      <c r="D827" s="1" t="s">
        <v>1197</v>
      </c>
      <c r="E827" s="1" t="s">
        <v>2786</v>
      </c>
      <c r="F827" s="1" t="str">
        <f>"605223755"</f>
        <v>605223755</v>
      </c>
      <c r="G827" s="1" t="str">
        <f>"6306553755"</f>
        <v>6306553755</v>
      </c>
      <c r="H827" s="1" t="s">
        <v>2637</v>
      </c>
    </row>
    <row r="828" spans="1:8" x14ac:dyDescent="0.25">
      <c r="A828" s="1" t="str">
        <f>"966  "</f>
        <v xml:space="preserve">966  </v>
      </c>
      <c r="B828" s="1" t="s">
        <v>2572</v>
      </c>
      <c r="C828" s="1" t="s">
        <v>2573</v>
      </c>
      <c r="D828" s="1" t="s">
        <v>2052</v>
      </c>
      <c r="E828" s="1" t="s">
        <v>2681</v>
      </c>
      <c r="F828" s="1" t="str">
        <f>"30009    "</f>
        <v xml:space="preserve">30009    </v>
      </c>
      <c r="G828" s="1" t="str">
        <f>"8886506566"</f>
        <v>8886506566</v>
      </c>
      <c r="H828" s="1" t="s">
        <v>2637</v>
      </c>
    </row>
    <row r="829" spans="1:8" x14ac:dyDescent="0.25">
      <c r="A829" s="1" t="str">
        <f>"967  "</f>
        <v xml:space="preserve">967  </v>
      </c>
      <c r="B829" s="1" t="s">
        <v>359</v>
      </c>
      <c r="C829" s="1" t="s">
        <v>360</v>
      </c>
      <c r="D829" s="1" t="s">
        <v>2743</v>
      </c>
      <c r="E829" s="1" t="s">
        <v>2744</v>
      </c>
      <c r="F829" s="1" t="str">
        <f>"40223    "</f>
        <v xml:space="preserve">40223    </v>
      </c>
      <c r="G829" s="1" t="str">
        <f>"8006781536"</f>
        <v>8006781536</v>
      </c>
      <c r="H829" s="1" t="s">
        <v>2637</v>
      </c>
    </row>
    <row r="830" spans="1:8" x14ac:dyDescent="0.25">
      <c r="A830" s="1" t="str">
        <f>"968  "</f>
        <v xml:space="preserve">968  </v>
      </c>
      <c r="B830" s="1" t="s">
        <v>2225</v>
      </c>
      <c r="C830" s="1" t="s">
        <v>2226</v>
      </c>
      <c r="D830" s="1" t="s">
        <v>2227</v>
      </c>
      <c r="E830" s="1" t="s">
        <v>2667</v>
      </c>
      <c r="F830" s="1" t="str">
        <f>"53008    "</f>
        <v xml:space="preserve">53008    </v>
      </c>
      <c r="G830" s="1" t="str">
        <f>"6304161111"</f>
        <v>6304161111</v>
      </c>
      <c r="H830" s="1" t="s">
        <v>2637</v>
      </c>
    </row>
    <row r="831" spans="1:8" x14ac:dyDescent="0.25">
      <c r="A831" s="1" t="str">
        <f>"969  "</f>
        <v xml:space="preserve">969  </v>
      </c>
      <c r="B831" s="1" t="s">
        <v>195</v>
      </c>
      <c r="C831" s="1" t="s">
        <v>196</v>
      </c>
      <c r="D831" s="1" t="s">
        <v>197</v>
      </c>
      <c r="E831" s="1" t="s">
        <v>2786</v>
      </c>
      <c r="F831" s="1" t="str">
        <f>"60015    "</f>
        <v xml:space="preserve">60015    </v>
      </c>
      <c r="G831" s="1" t="str">
        <f>"8002072568"</f>
        <v>8002072568</v>
      </c>
      <c r="H831" s="1" t="s">
        <v>2637</v>
      </c>
    </row>
    <row r="832" spans="1:8" x14ac:dyDescent="0.25">
      <c r="A832" s="1" t="str">
        <f>"970  "</f>
        <v xml:space="preserve">970  </v>
      </c>
      <c r="B832" s="1" t="s">
        <v>437</v>
      </c>
      <c r="C832" s="1" t="s">
        <v>438</v>
      </c>
      <c r="D832" s="1" t="s">
        <v>439</v>
      </c>
      <c r="E832" s="1" t="s">
        <v>2663</v>
      </c>
      <c r="F832" s="1" t="str">
        <f>"91709    "</f>
        <v xml:space="preserve">91709    </v>
      </c>
      <c r="G832" s="1" t="str">
        <f>"8009195514"</f>
        <v>8009195514</v>
      </c>
      <c r="H832" s="1" t="s">
        <v>2688</v>
      </c>
    </row>
    <row r="833" spans="1:8" x14ac:dyDescent="0.25">
      <c r="A833" s="1" t="str">
        <f>"971  "</f>
        <v xml:space="preserve">971  </v>
      </c>
      <c r="B833" s="1" t="s">
        <v>3116</v>
      </c>
      <c r="C833" s="1" t="str">
        <f>"135 BEAVER STREET                                 "</f>
        <v xml:space="preserve">135 BEAVER STREET                                 </v>
      </c>
      <c r="D833" s="1" t="s">
        <v>3117</v>
      </c>
      <c r="E833" s="1" t="s">
        <v>3118</v>
      </c>
      <c r="F833" s="1" t="str">
        <f>"02452    "</f>
        <v xml:space="preserve">02452    </v>
      </c>
      <c r="G833" s="1" t="str">
        <f>"8005481256"</f>
        <v>8005481256</v>
      </c>
      <c r="H833" s="1" t="s">
        <v>2637</v>
      </c>
    </row>
    <row r="834" spans="1:8" x14ac:dyDescent="0.25">
      <c r="A834" s="1" t="str">
        <f>"972  "</f>
        <v xml:space="preserve">972  </v>
      </c>
      <c r="B834" s="1" t="s">
        <v>2306</v>
      </c>
      <c r="C834" s="1" t="s">
        <v>2307</v>
      </c>
      <c r="D834" s="1" t="s">
        <v>2643</v>
      </c>
      <c r="E834" s="1" t="s">
        <v>2644</v>
      </c>
      <c r="F834" s="1" t="str">
        <f>"49512    "</f>
        <v xml:space="preserve">49512    </v>
      </c>
      <c r="G834" s="1" t="str">
        <f>"8009682449"</f>
        <v>8009682449</v>
      </c>
      <c r="H834" s="1" t="s">
        <v>2637</v>
      </c>
    </row>
    <row r="835" spans="1:8" x14ac:dyDescent="0.25">
      <c r="A835" s="1" t="str">
        <f>"973  "</f>
        <v xml:space="preserve">973  </v>
      </c>
      <c r="B835" s="1" t="s">
        <v>1919</v>
      </c>
      <c r="C835" s="1" t="s">
        <v>1920</v>
      </c>
      <c r="D835" s="1" t="s">
        <v>2643</v>
      </c>
      <c r="E835" s="1" t="s">
        <v>2644</v>
      </c>
      <c r="F835" s="1" t="str">
        <f>"49501    "</f>
        <v xml:space="preserve">49501    </v>
      </c>
      <c r="G835" s="1" t="str">
        <f>"8007669780"</f>
        <v>8007669780</v>
      </c>
      <c r="H835" s="1" t="s">
        <v>1921</v>
      </c>
    </row>
    <row r="836" spans="1:8" x14ac:dyDescent="0.25">
      <c r="A836" s="1" t="str">
        <f>"974  "</f>
        <v xml:space="preserve">974  </v>
      </c>
      <c r="B836" s="1" t="s">
        <v>1096</v>
      </c>
      <c r="C836" s="1" t="s">
        <v>1097</v>
      </c>
      <c r="D836" s="1" t="s">
        <v>1098</v>
      </c>
      <c r="E836" s="1" t="s">
        <v>2714</v>
      </c>
      <c r="F836" s="1" t="str">
        <f>"44036    "</f>
        <v xml:space="preserve">44036    </v>
      </c>
      <c r="G836" s="1" t="str">
        <f>"8002239941"</f>
        <v>8002239941</v>
      </c>
      <c r="H836" s="1" t="s">
        <v>2637</v>
      </c>
    </row>
    <row r="837" spans="1:8" x14ac:dyDescent="0.25">
      <c r="A837" s="1" t="str">
        <f>"975  "</f>
        <v xml:space="preserve">975  </v>
      </c>
      <c r="B837" s="1" t="s">
        <v>677</v>
      </c>
      <c r="C837" s="1" t="s">
        <v>678</v>
      </c>
      <c r="D837" s="1" t="s">
        <v>2323</v>
      </c>
      <c r="E837" s="1" t="s">
        <v>2786</v>
      </c>
      <c r="F837" s="1" t="str">
        <f>"60532    "</f>
        <v xml:space="preserve">60532    </v>
      </c>
      <c r="G837" s="1" t="str">
        <f>"8006453332"</f>
        <v>8006453332</v>
      </c>
      <c r="H837" s="1" t="s">
        <v>679</v>
      </c>
    </row>
    <row r="838" spans="1:8" x14ac:dyDescent="0.25">
      <c r="A838" s="1" t="str">
        <f>"976  "</f>
        <v xml:space="preserve">976  </v>
      </c>
      <c r="B838" s="1" t="s">
        <v>3285</v>
      </c>
      <c r="C838" s="1" t="s">
        <v>3286</v>
      </c>
      <c r="D838" s="1" t="s">
        <v>2923</v>
      </c>
      <c r="E838" s="1" t="s">
        <v>2681</v>
      </c>
      <c r="F838" s="1" t="str">
        <f>"31917    "</f>
        <v xml:space="preserve">31917    </v>
      </c>
      <c r="G838" s="1" t="str">
        <f>"7062776710"</f>
        <v>7062776710</v>
      </c>
      <c r="H838" s="1" t="s">
        <v>2637</v>
      </c>
    </row>
    <row r="839" spans="1:8" x14ac:dyDescent="0.25">
      <c r="A839" s="1" t="str">
        <f>"977  "</f>
        <v xml:space="preserve">977  </v>
      </c>
      <c r="B839" s="1" t="s">
        <v>1741</v>
      </c>
      <c r="C839" s="1" t="str">
        <f>"26359                                             "</f>
        <v xml:space="preserve">26359                                             </v>
      </c>
      <c r="D839" s="1" t="s">
        <v>2195</v>
      </c>
      <c r="E839" s="1" t="s">
        <v>2196</v>
      </c>
      <c r="F839" s="1" t="str">
        <f>"89126    "</f>
        <v xml:space="preserve">89126    </v>
      </c>
      <c r="G839" s="1" t="str">
        <f>"8004265980"</f>
        <v>8004265980</v>
      </c>
      <c r="H839" s="1" t="s">
        <v>2240</v>
      </c>
    </row>
    <row r="840" spans="1:8" x14ac:dyDescent="0.25">
      <c r="A840" s="1" t="str">
        <f>"978  "</f>
        <v xml:space="preserve">978  </v>
      </c>
      <c r="B840" s="1" t="s">
        <v>1382</v>
      </c>
      <c r="C840" s="1" t="s">
        <v>1383</v>
      </c>
      <c r="D840" s="1" t="s">
        <v>1384</v>
      </c>
      <c r="E840" s="1" t="s">
        <v>2677</v>
      </c>
      <c r="F840" s="1" t="str">
        <f>"27264    "</f>
        <v xml:space="preserve">27264    </v>
      </c>
      <c r="G840" s="1" t="str">
        <f>"8773112150"</f>
        <v>8773112150</v>
      </c>
      <c r="H840" s="1" t="s">
        <v>2637</v>
      </c>
    </row>
    <row r="841" spans="1:8" x14ac:dyDescent="0.25">
      <c r="A841" s="1" t="str">
        <f>"979  "</f>
        <v xml:space="preserve">979  </v>
      </c>
      <c r="B841" s="1" t="s">
        <v>37</v>
      </c>
      <c r="C841" s="1" t="str">
        <f>"113 SEABOARD LANE                                 "</f>
        <v xml:space="preserve">113 SEABOARD LANE                                 </v>
      </c>
      <c r="D841" s="1" t="s">
        <v>299</v>
      </c>
      <c r="E841" s="1" t="s">
        <v>2970</v>
      </c>
      <c r="F841" s="1" t="str">
        <f>"37067    "</f>
        <v xml:space="preserve">37067    </v>
      </c>
      <c r="G841" s="1" t="str">
        <f>"6159633826"</f>
        <v>6159633826</v>
      </c>
      <c r="H841" s="1" t="s">
        <v>38</v>
      </c>
    </row>
    <row r="842" spans="1:8" x14ac:dyDescent="0.25">
      <c r="A842" s="1" t="str">
        <f>"980  "</f>
        <v xml:space="preserve">980  </v>
      </c>
      <c r="B842" s="1" t="s">
        <v>1426</v>
      </c>
      <c r="C842" s="1" t="s">
        <v>1427</v>
      </c>
      <c r="D842" s="1" t="s">
        <v>1428</v>
      </c>
      <c r="E842" s="1" t="s">
        <v>2681</v>
      </c>
      <c r="F842" s="1" t="str">
        <f>"30503    "</f>
        <v xml:space="preserve">30503    </v>
      </c>
      <c r="G842" s="1" t="str">
        <f>"8007774752"</f>
        <v>8007774752</v>
      </c>
      <c r="H842" s="1" t="s">
        <v>2637</v>
      </c>
    </row>
    <row r="843" spans="1:8" x14ac:dyDescent="0.25">
      <c r="A843" s="1" t="str">
        <f>"981  "</f>
        <v xml:space="preserve">981  </v>
      </c>
      <c r="B843" s="1" t="s">
        <v>1687</v>
      </c>
      <c r="C843" s="1" t="s">
        <v>1688</v>
      </c>
      <c r="D843" s="1" t="s">
        <v>2685</v>
      </c>
      <c r="E843" s="1" t="s">
        <v>2670</v>
      </c>
      <c r="F843" s="1" t="str">
        <f>"64141    "</f>
        <v xml:space="preserve">64141    </v>
      </c>
      <c r="G843" s="1" t="str">
        <f>"8005227487"</f>
        <v>8005227487</v>
      </c>
      <c r="H843" s="1" t="s">
        <v>2637</v>
      </c>
    </row>
    <row r="844" spans="1:8" x14ac:dyDescent="0.25">
      <c r="A844" s="1" t="str">
        <f>"982  "</f>
        <v xml:space="preserve">982  </v>
      </c>
      <c r="B844" s="1" t="s">
        <v>2617</v>
      </c>
      <c r="C844" s="1" t="s">
        <v>2729</v>
      </c>
      <c r="D844" s="1" t="s">
        <v>2730</v>
      </c>
      <c r="E844" s="1" t="s">
        <v>2731</v>
      </c>
      <c r="F844" s="1" t="str">
        <f>"708044036"</f>
        <v>708044036</v>
      </c>
      <c r="G844" s="1" t="str">
        <f>"8002728451"</f>
        <v>8002728451</v>
      </c>
      <c r="H844" s="1" t="s">
        <v>2637</v>
      </c>
    </row>
    <row r="845" spans="1:8" x14ac:dyDescent="0.25">
      <c r="A845" s="1" t="str">
        <f>"983  "</f>
        <v xml:space="preserve">983  </v>
      </c>
      <c r="B845" s="1" t="s">
        <v>1652</v>
      </c>
      <c r="C845" s="1" t="str">
        <f>"3901 E. WINSLOW AVE                               "</f>
        <v xml:space="preserve">3901 E. WINSLOW AVE                               </v>
      </c>
      <c r="D845" s="1" t="s">
        <v>2808</v>
      </c>
      <c r="E845" s="1" t="s">
        <v>2809</v>
      </c>
      <c r="F845" s="1" t="str">
        <f>"85040    "</f>
        <v xml:space="preserve">85040    </v>
      </c>
      <c r="G845" s="1" t="str">
        <f>"6022340497"</f>
        <v>6022340497</v>
      </c>
      <c r="H845" s="1" t="s">
        <v>2637</v>
      </c>
    </row>
    <row r="846" spans="1:8" x14ac:dyDescent="0.25">
      <c r="A846" s="1" t="str">
        <f>"984  "</f>
        <v xml:space="preserve">984  </v>
      </c>
      <c r="B846" s="1" t="s">
        <v>1491</v>
      </c>
      <c r="C846" s="1" t="s">
        <v>3008</v>
      </c>
      <c r="D846" s="1" t="s">
        <v>2977</v>
      </c>
      <c r="E846" s="1" t="s">
        <v>2858</v>
      </c>
      <c r="F846" s="1" t="str">
        <f>"98124    "</f>
        <v xml:space="preserve">98124    </v>
      </c>
      <c r="G846" s="1" t="str">
        <f>"8004934240"</f>
        <v>8004934240</v>
      </c>
      <c r="H846" s="1" t="s">
        <v>2637</v>
      </c>
    </row>
    <row r="847" spans="1:8" x14ac:dyDescent="0.25">
      <c r="A847" s="1" t="str">
        <f>"985  "</f>
        <v xml:space="preserve">985  </v>
      </c>
      <c r="B847" s="1" t="s">
        <v>1813</v>
      </c>
      <c r="C847" s="1" t="s">
        <v>1814</v>
      </c>
      <c r="D847" s="1" t="s">
        <v>2234</v>
      </c>
      <c r="E847" s="1" t="s">
        <v>2826</v>
      </c>
      <c r="F847" s="1" t="str">
        <f>"81002    "</f>
        <v xml:space="preserve">81002    </v>
      </c>
      <c r="G847" s="1" t="str">
        <f>"8003621116"</f>
        <v>8003621116</v>
      </c>
      <c r="H847" s="1" t="s">
        <v>2637</v>
      </c>
    </row>
    <row r="848" spans="1:8" x14ac:dyDescent="0.25">
      <c r="A848" s="1" t="str">
        <f>"986  "</f>
        <v xml:space="preserve">986  </v>
      </c>
      <c r="B848" s="1" t="s">
        <v>3162</v>
      </c>
      <c r="C848" s="1" t="str">
        <f>"115 HANOVER STREET                                "</f>
        <v xml:space="preserve">115 HANOVER STREET                                </v>
      </c>
      <c r="D848" s="1" t="s">
        <v>3163</v>
      </c>
      <c r="E848" s="1" t="s">
        <v>3164</v>
      </c>
      <c r="F848" s="1" t="str">
        <f>"23005    "</f>
        <v xml:space="preserve">23005    </v>
      </c>
      <c r="G848" s="1" t="str">
        <f>"8005261677"</f>
        <v>8005261677</v>
      </c>
      <c r="H848" s="1" t="s">
        <v>2637</v>
      </c>
    </row>
    <row r="849" spans="1:8" x14ac:dyDescent="0.25">
      <c r="A849" s="1" t="str">
        <f>"987  "</f>
        <v xml:space="preserve">987  </v>
      </c>
      <c r="B849" s="1" t="s">
        <v>779</v>
      </c>
      <c r="C849" s="1" t="s">
        <v>780</v>
      </c>
      <c r="D849" s="1" t="s">
        <v>2717</v>
      </c>
      <c r="E849" s="1" t="s">
        <v>2681</v>
      </c>
      <c r="F849" s="1" t="str">
        <f>"311190240"</f>
        <v>311190240</v>
      </c>
      <c r="G849" s="1" t="str">
        <f>"4042665500"</f>
        <v>4042665500</v>
      </c>
      <c r="H849" s="1" t="s">
        <v>2637</v>
      </c>
    </row>
    <row r="850" spans="1:8" x14ac:dyDescent="0.25">
      <c r="A850" s="1" t="str">
        <f>"988  "</f>
        <v xml:space="preserve">988  </v>
      </c>
      <c r="B850" s="1" t="s">
        <v>2230</v>
      </c>
      <c r="C850" s="1" t="s">
        <v>2231</v>
      </c>
      <c r="D850" s="1" t="s">
        <v>2854</v>
      </c>
      <c r="E850" s="1" t="s">
        <v>2636</v>
      </c>
      <c r="F850" s="1" t="str">
        <f>"799981610"</f>
        <v>799981610</v>
      </c>
      <c r="G850" s="1" t="str">
        <f>"8007331110"</f>
        <v>8007331110</v>
      </c>
      <c r="H850" s="1" t="s">
        <v>2637</v>
      </c>
    </row>
    <row r="851" spans="1:8" x14ac:dyDescent="0.25">
      <c r="A851" s="1" t="str">
        <f>"989  "</f>
        <v xml:space="preserve">989  </v>
      </c>
      <c r="B851" s="1" t="s">
        <v>1225</v>
      </c>
      <c r="C851" s="1" t="s">
        <v>1226</v>
      </c>
      <c r="D851" s="1" t="s">
        <v>3180</v>
      </c>
      <c r="E851" s="1" t="s">
        <v>2773</v>
      </c>
      <c r="F851" s="1" t="str">
        <f>"14692    "</f>
        <v xml:space="preserve">14692    </v>
      </c>
      <c r="G851" s="1" t="str">
        <f>"8772429464"</f>
        <v>8772429464</v>
      </c>
      <c r="H851" s="1" t="s">
        <v>2637</v>
      </c>
    </row>
    <row r="852" spans="1:8" x14ac:dyDescent="0.25">
      <c r="A852" s="1" t="str">
        <f>"990  "</f>
        <v xml:space="preserve">990  </v>
      </c>
      <c r="B852" s="1" t="s">
        <v>1586</v>
      </c>
      <c r="C852" s="1" t="str">
        <f>"200 SOUTH MARSHALL ST.                            "</f>
        <v xml:space="preserve">200 SOUTH MARSHALL ST.                            </v>
      </c>
      <c r="D852" s="1" t="s">
        <v>2036</v>
      </c>
      <c r="E852" s="1" t="s">
        <v>2677</v>
      </c>
      <c r="F852" s="1" t="str">
        <f>"27101    "</f>
        <v xml:space="preserve">27101    </v>
      </c>
      <c r="G852" s="1" t="str">
        <f>"8003348159"</f>
        <v>8003348159</v>
      </c>
      <c r="H852" s="1" t="s">
        <v>2637</v>
      </c>
    </row>
    <row r="853" spans="1:8" x14ac:dyDescent="0.25">
      <c r="A853" s="1" t="str">
        <f>"991  "</f>
        <v xml:space="preserve">991  </v>
      </c>
      <c r="B853" s="1" t="s">
        <v>2312</v>
      </c>
      <c r="C853" s="1" t="s">
        <v>2313</v>
      </c>
      <c r="D853" s="1" t="s">
        <v>2314</v>
      </c>
      <c r="E853" s="1" t="s">
        <v>2670</v>
      </c>
      <c r="F853" s="1" t="str">
        <f>"63166    "</f>
        <v xml:space="preserve">63166    </v>
      </c>
      <c r="G853" s="1" t="str">
        <f>"8883065299"</f>
        <v>8883065299</v>
      </c>
      <c r="H853" s="1" t="s">
        <v>2637</v>
      </c>
    </row>
    <row r="854" spans="1:8" x14ac:dyDescent="0.25">
      <c r="A854" s="1" t="str">
        <f>"992  "</f>
        <v xml:space="preserve">992  </v>
      </c>
      <c r="B854" s="1" t="s">
        <v>1115</v>
      </c>
      <c r="C854" s="1" t="s">
        <v>1116</v>
      </c>
      <c r="D854" s="1" t="s">
        <v>2721</v>
      </c>
      <c r="E854" s="1" t="s">
        <v>2714</v>
      </c>
      <c r="F854" s="1" t="str">
        <f>"44309    "</f>
        <v xml:space="preserve">44309    </v>
      </c>
      <c r="G854" s="1" t="str">
        <f>"8003210935"</f>
        <v>8003210935</v>
      </c>
      <c r="H854" s="1" t="s">
        <v>2637</v>
      </c>
    </row>
    <row r="855" spans="1:8" x14ac:dyDescent="0.25">
      <c r="A855" s="1" t="str">
        <f>"993  "</f>
        <v xml:space="preserve">993  </v>
      </c>
      <c r="B855" s="1" t="s">
        <v>361</v>
      </c>
      <c r="C855" s="1" t="s">
        <v>362</v>
      </c>
      <c r="D855" s="1" t="s">
        <v>3180</v>
      </c>
      <c r="E855" s="1" t="s">
        <v>2644</v>
      </c>
      <c r="F855" s="1" t="str">
        <f>"483081913"</f>
        <v>483081913</v>
      </c>
      <c r="G855" s="1" t="str">
        <f>"2488539010"</f>
        <v>2488539010</v>
      </c>
      <c r="H855" s="1" t="s">
        <v>2637</v>
      </c>
    </row>
    <row r="856" spans="1:8" x14ac:dyDescent="0.25">
      <c r="A856" s="1" t="str">
        <f>"994  "</f>
        <v xml:space="preserve">994  </v>
      </c>
      <c r="B856" s="1" t="s">
        <v>2463</v>
      </c>
      <c r="C856" s="1" t="s">
        <v>2464</v>
      </c>
      <c r="D856" s="1" t="s">
        <v>2465</v>
      </c>
      <c r="E856" s="1" t="s">
        <v>2636</v>
      </c>
      <c r="F856" s="1" t="str">
        <f>"76182    "</f>
        <v xml:space="preserve">76182    </v>
      </c>
      <c r="G856" s="1" t="str">
        <f>"8005198374"</f>
        <v>8005198374</v>
      </c>
      <c r="H856" s="1" t="s">
        <v>2466</v>
      </c>
    </row>
    <row r="857" spans="1:8" x14ac:dyDescent="0.25">
      <c r="A857" s="1" t="str">
        <f>"995  "</f>
        <v xml:space="preserve">995  </v>
      </c>
      <c r="B857" s="1" t="s">
        <v>1855</v>
      </c>
      <c r="C857" s="1" t="str">
        <f>"10680 TREENA ST,STOP 5                            "</f>
        <v xml:space="preserve">10680 TREENA ST,STOP 5                            </v>
      </c>
      <c r="D857" s="1" t="s">
        <v>1856</v>
      </c>
      <c r="E857" s="1" t="s">
        <v>2663</v>
      </c>
      <c r="F857" s="1" t="str">
        <f>"92131    "</f>
        <v xml:space="preserve">92131    </v>
      </c>
      <c r="G857" s="1" t="str">
        <f>"8007882949"</f>
        <v>8007882949</v>
      </c>
      <c r="H857" s="1" t="s">
        <v>2637</v>
      </c>
    </row>
    <row r="858" spans="1:8" x14ac:dyDescent="0.25">
      <c r="A858" s="1" t="str">
        <f>"996  "</f>
        <v xml:space="preserve">996  </v>
      </c>
      <c r="B858" s="1" t="s">
        <v>718</v>
      </c>
      <c r="C858" s="1" t="s">
        <v>719</v>
      </c>
      <c r="D858" s="1" t="s">
        <v>2705</v>
      </c>
      <c r="E858" s="1" t="s">
        <v>2706</v>
      </c>
      <c r="F858" s="1" t="str">
        <f>"46268    "</f>
        <v xml:space="preserve">46268    </v>
      </c>
      <c r="G858" s="1" t="str">
        <f>"8003313287"</f>
        <v>8003313287</v>
      </c>
      <c r="H858" s="1" t="s">
        <v>720</v>
      </c>
    </row>
    <row r="859" spans="1:8" x14ac:dyDescent="0.25">
      <c r="A859" s="1" t="str">
        <f>"997  "</f>
        <v xml:space="preserve">997  </v>
      </c>
      <c r="B859" s="1" t="s">
        <v>2799</v>
      </c>
      <c r="C859" s="1" t="s">
        <v>2112</v>
      </c>
      <c r="D859" s="1" t="s">
        <v>3074</v>
      </c>
      <c r="E859" s="1" t="s">
        <v>2832</v>
      </c>
      <c r="F859" s="1" t="str">
        <f>"33757    "</f>
        <v xml:space="preserve">33757    </v>
      </c>
      <c r="G859" s="1" t="str">
        <f>"8778259337"</f>
        <v>8778259337</v>
      </c>
      <c r="H859" s="1" t="s">
        <v>2735</v>
      </c>
    </row>
    <row r="860" spans="1:8" x14ac:dyDescent="0.25">
      <c r="A860" s="1" t="str">
        <f>"998  "</f>
        <v xml:space="preserve">998  </v>
      </c>
      <c r="B860" s="1" t="s">
        <v>1137</v>
      </c>
      <c r="C860" s="1" t="str">
        <f>"6201 POWERS FERRY RD. STE. 100                    "</f>
        <v xml:space="preserve">6201 POWERS FERRY RD. STE. 100                    </v>
      </c>
      <c r="D860" s="1" t="s">
        <v>2717</v>
      </c>
      <c r="E860" s="1" t="s">
        <v>2681</v>
      </c>
      <c r="F860" s="1" t="str">
        <f>"30348    "</f>
        <v xml:space="preserve">30348    </v>
      </c>
      <c r="G860" s="1" t="str">
        <f>"8003332542"</f>
        <v>8003332542</v>
      </c>
      <c r="H860" s="1" t="s">
        <v>2637</v>
      </c>
    </row>
    <row r="861" spans="1:8" x14ac:dyDescent="0.25">
      <c r="A861" s="1" t="str">
        <f>"999  "</f>
        <v xml:space="preserve">999  </v>
      </c>
      <c r="B861" s="1" t="s">
        <v>554</v>
      </c>
      <c r="C861" s="1" t="s">
        <v>555</v>
      </c>
      <c r="D861" s="1" t="s">
        <v>3013</v>
      </c>
      <c r="E861" s="1" t="s">
        <v>2660</v>
      </c>
      <c r="F861" s="1" t="str">
        <f>"294199024"</f>
        <v>294199024</v>
      </c>
      <c r="G861" s="1" t="str">
        <f>"8007203150"</f>
        <v>8007203150</v>
      </c>
      <c r="H861" s="1" t="s">
        <v>556</v>
      </c>
    </row>
    <row r="862" spans="1:8" x14ac:dyDescent="0.25">
      <c r="A862" s="1" t="str">
        <f>"100DN"</f>
        <v>100DN</v>
      </c>
      <c r="B862" s="1" t="s">
        <v>1337</v>
      </c>
      <c r="C862" s="1" t="s">
        <v>1338</v>
      </c>
      <c r="D862" s="1" t="s">
        <v>2794</v>
      </c>
      <c r="E862" s="1" t="s">
        <v>2744</v>
      </c>
      <c r="F862" s="1" t="str">
        <f>"40512    "</f>
        <v xml:space="preserve">40512    </v>
      </c>
      <c r="G862" s="1" t="str">
        <f>"8004517715"</f>
        <v>8004517715</v>
      </c>
      <c r="H862" s="1" t="s">
        <v>2637</v>
      </c>
    </row>
    <row r="863" spans="1:8" x14ac:dyDescent="0.25">
      <c r="A863" s="1" t="str">
        <f>"100RX"</f>
        <v>100RX</v>
      </c>
      <c r="B863" s="1" t="s">
        <v>2372</v>
      </c>
      <c r="C863" s="1" t="s">
        <v>2373</v>
      </c>
      <c r="D863" s="1" t="s">
        <v>2794</v>
      </c>
      <c r="E863" s="1" t="s">
        <v>2744</v>
      </c>
      <c r="F863" s="1" t="str">
        <f>"40512    "</f>
        <v xml:space="preserve">40512    </v>
      </c>
      <c r="G863" s="1" t="str">
        <f>"8002386279"</f>
        <v>8002386279</v>
      </c>
      <c r="H863" s="1" t="s">
        <v>2637</v>
      </c>
    </row>
    <row r="864" spans="1:8" x14ac:dyDescent="0.25">
      <c r="A864" s="1" t="str">
        <f>"110RX"</f>
        <v>110RX</v>
      </c>
      <c r="B864" s="1" t="s">
        <v>2018</v>
      </c>
      <c r="C864" s="1" t="s">
        <v>2019</v>
      </c>
      <c r="D864" s="1" t="s">
        <v>2985</v>
      </c>
      <c r="E864" s="1" t="s">
        <v>2636</v>
      </c>
      <c r="F864" s="1" t="str">
        <f>"78268    "</f>
        <v xml:space="preserve">78268    </v>
      </c>
      <c r="G864" s="1" t="str">
        <f>"8008415550"</f>
        <v>8008415550</v>
      </c>
      <c r="H864" s="1" t="s">
        <v>2020</v>
      </c>
    </row>
    <row r="865" spans="1:8" x14ac:dyDescent="0.25">
      <c r="A865" s="1" t="str">
        <f>"113DN"</f>
        <v>113DN</v>
      </c>
      <c r="B865" s="1" t="s">
        <v>1983</v>
      </c>
      <c r="C865" s="1" t="s">
        <v>874</v>
      </c>
      <c r="D865" s="1" t="s">
        <v>2673</v>
      </c>
      <c r="E865" s="1" t="s">
        <v>2674</v>
      </c>
      <c r="F865" s="1" t="str">
        <f>"84130    "</f>
        <v xml:space="preserve">84130    </v>
      </c>
      <c r="G865" s="1" t="str">
        <f>"8005215505"</f>
        <v>8005215505</v>
      </c>
      <c r="H865" s="1" t="s">
        <v>2637</v>
      </c>
    </row>
    <row r="866" spans="1:8" x14ac:dyDescent="0.25">
      <c r="A866" s="1" t="str">
        <f>"134DN"</f>
        <v>134DN</v>
      </c>
      <c r="B866" s="1" t="s">
        <v>2374</v>
      </c>
      <c r="C866" s="1" t="s">
        <v>1850</v>
      </c>
      <c r="D866" s="1" t="s">
        <v>3045</v>
      </c>
      <c r="E866" s="1" t="s">
        <v>2970</v>
      </c>
      <c r="F866" s="1" t="str">
        <f>"37422    "</f>
        <v xml:space="preserve">37422    </v>
      </c>
      <c r="G866" s="1" t="str">
        <f>"8002446224"</f>
        <v>8002446224</v>
      </c>
      <c r="H866" s="1" t="s">
        <v>2376</v>
      </c>
    </row>
    <row r="867" spans="1:8" x14ac:dyDescent="0.25">
      <c r="A867" s="1" t="str">
        <f>"134RX"</f>
        <v>134RX</v>
      </c>
      <c r="B867" s="1" t="s">
        <v>2374</v>
      </c>
      <c r="C867" s="1" t="s">
        <v>2375</v>
      </c>
      <c r="D867" s="1" t="s">
        <v>2808</v>
      </c>
      <c r="E867" s="1" t="s">
        <v>2809</v>
      </c>
      <c r="F867" s="1" t="str">
        <f>"850802005"</f>
        <v>850802005</v>
      </c>
      <c r="G867" s="1" t="str">
        <f>"8002510670"</f>
        <v>8002510670</v>
      </c>
      <c r="H867" s="1" t="s">
        <v>2376</v>
      </c>
    </row>
    <row r="868" spans="1:8" x14ac:dyDescent="0.25">
      <c r="A868" s="1" t="str">
        <f>"139DN"</f>
        <v>139DN</v>
      </c>
      <c r="B868" s="1" t="s">
        <v>3025</v>
      </c>
      <c r="C868" s="1" t="s">
        <v>1719</v>
      </c>
      <c r="D868" s="1" t="s">
        <v>3045</v>
      </c>
      <c r="E868" s="1" t="s">
        <v>2970</v>
      </c>
      <c r="F868" s="1" t="str">
        <f>"374228037"</f>
        <v>374228037</v>
      </c>
      <c r="G868" s="1" t="str">
        <f>"8008269781"</f>
        <v>8008269781</v>
      </c>
      <c r="H868" s="1" t="s">
        <v>1720</v>
      </c>
    </row>
    <row r="869" spans="1:8" x14ac:dyDescent="0.25">
      <c r="A869" s="1" t="str">
        <f>"139RX"</f>
        <v>139RX</v>
      </c>
      <c r="B869" s="1" t="s">
        <v>2377</v>
      </c>
      <c r="C869" s="1" t="s">
        <v>2378</v>
      </c>
      <c r="D869" s="1" t="s">
        <v>2379</v>
      </c>
      <c r="E869" s="1" t="s">
        <v>2667</v>
      </c>
      <c r="F869" s="1" t="str">
        <f>"544028013"</f>
        <v>544028013</v>
      </c>
      <c r="G869" s="1" t="str">
        <f>"8008269781"</f>
        <v>8008269781</v>
      </c>
      <c r="H869" s="1" t="s">
        <v>2637</v>
      </c>
    </row>
    <row r="870" spans="1:8" x14ac:dyDescent="0.25">
      <c r="A870" s="1" t="str">
        <f>"153DN"</f>
        <v>153DN</v>
      </c>
      <c r="B870" s="1" t="s">
        <v>2849</v>
      </c>
      <c r="C870" s="1" t="s">
        <v>2850</v>
      </c>
      <c r="D870" s="1" t="s">
        <v>2696</v>
      </c>
      <c r="E870" s="1" t="s">
        <v>2660</v>
      </c>
      <c r="F870" s="1" t="str">
        <f>"29721    "</f>
        <v xml:space="preserve">29721    </v>
      </c>
      <c r="G870" s="1" t="str">
        <f>"8032862440"</f>
        <v>8032862440</v>
      </c>
      <c r="H870" s="1" t="s">
        <v>2637</v>
      </c>
    </row>
    <row r="871" spans="1:8" x14ac:dyDescent="0.25">
      <c r="A871" s="1" t="str">
        <f>"160DN"</f>
        <v>160DN</v>
      </c>
      <c r="B871" s="1" t="s">
        <v>1559</v>
      </c>
      <c r="C871" s="1" t="s">
        <v>1560</v>
      </c>
      <c r="D871" s="1" t="s">
        <v>2004</v>
      </c>
      <c r="E871" s="1" t="s">
        <v>2786</v>
      </c>
      <c r="F871" s="1" t="str">
        <f>"601684059"</f>
        <v>601684059</v>
      </c>
      <c r="G871" s="1" t="str">
        <f>"8772179677"</f>
        <v>8772179677</v>
      </c>
      <c r="H871" s="1" t="s">
        <v>2637</v>
      </c>
    </row>
    <row r="872" spans="1:8" x14ac:dyDescent="0.25">
      <c r="A872" s="1" t="str">
        <f>"201DN"</f>
        <v>201DN</v>
      </c>
      <c r="B872" s="1" t="s">
        <v>2875</v>
      </c>
      <c r="C872" s="1" t="s">
        <v>2876</v>
      </c>
      <c r="D872" s="1" t="s">
        <v>2877</v>
      </c>
      <c r="E872" s="1" t="s">
        <v>2786</v>
      </c>
      <c r="F872" s="1" t="str">
        <f>"61656    "</f>
        <v xml:space="preserve">61656    </v>
      </c>
      <c r="G872" s="1" t="str">
        <f>"8003221516"</f>
        <v>8003221516</v>
      </c>
      <c r="H872" s="1" t="s">
        <v>2637</v>
      </c>
    </row>
    <row r="873" spans="1:8" x14ac:dyDescent="0.25">
      <c r="A873" s="1" t="str">
        <f>"237DN"</f>
        <v>237DN</v>
      </c>
      <c r="B873" s="1" t="s">
        <v>1271</v>
      </c>
      <c r="C873" s="1" t="s">
        <v>1272</v>
      </c>
      <c r="D873" s="1" t="s">
        <v>1066</v>
      </c>
      <c r="E873" s="1" t="s">
        <v>2858</v>
      </c>
      <c r="F873" s="1" t="str">
        <f>"99210    "</f>
        <v xml:space="preserve">99210    </v>
      </c>
      <c r="G873" s="1" t="str">
        <f>"8005417846"</f>
        <v>8005417846</v>
      </c>
      <c r="H873" s="1" t="s">
        <v>2637</v>
      </c>
    </row>
    <row r="874" spans="1:8" x14ac:dyDescent="0.25">
      <c r="A874" s="1" t="str">
        <f>"245RX"</f>
        <v>245RX</v>
      </c>
      <c r="B874" s="1" t="s">
        <v>2310</v>
      </c>
      <c r="C874" s="1" t="s">
        <v>1451</v>
      </c>
      <c r="D874" s="1" t="s">
        <v>1452</v>
      </c>
      <c r="E874" s="1" t="s">
        <v>2809</v>
      </c>
      <c r="F874" s="1" t="str">
        <f>"85734    "</f>
        <v xml:space="preserve">85734    </v>
      </c>
      <c r="G874" s="1" t="str">
        <f>"8005544954"</f>
        <v>8005544954</v>
      </c>
      <c r="H874" s="1" t="s">
        <v>2637</v>
      </c>
    </row>
    <row r="875" spans="1:8" x14ac:dyDescent="0.25">
      <c r="A875" s="1" t="str">
        <f>"300DN"</f>
        <v>300DN</v>
      </c>
      <c r="B875" s="1" t="s">
        <v>1019</v>
      </c>
      <c r="C875" s="1" t="s">
        <v>1020</v>
      </c>
      <c r="D875" s="1" t="s">
        <v>1021</v>
      </c>
      <c r="E875" s="1" t="s">
        <v>2697</v>
      </c>
      <c r="F875" s="1" t="str">
        <f>"16512    "</f>
        <v xml:space="preserve">16512    </v>
      </c>
      <c r="G875" s="1" t="str">
        <f>"8007772524"</f>
        <v>8007772524</v>
      </c>
      <c r="H875" s="1" t="s">
        <v>2637</v>
      </c>
    </row>
    <row r="876" spans="1:8" x14ac:dyDescent="0.25">
      <c r="A876" s="1" t="str">
        <f>"308DN"</f>
        <v>308DN</v>
      </c>
      <c r="B876" s="1" t="s">
        <v>2668</v>
      </c>
      <c r="C876" s="1" t="s">
        <v>1507</v>
      </c>
      <c r="D876" s="1" t="s">
        <v>1508</v>
      </c>
      <c r="E876" s="1" t="s">
        <v>2749</v>
      </c>
      <c r="F876" s="1" t="str">
        <f>"66701    "</f>
        <v xml:space="preserve">66701    </v>
      </c>
      <c r="G876" s="1" t="str">
        <f>"8776314227"</f>
        <v>8776314227</v>
      </c>
      <c r="H876" s="1" t="s">
        <v>2637</v>
      </c>
    </row>
    <row r="877" spans="1:8" x14ac:dyDescent="0.25">
      <c r="A877" s="1" t="str">
        <f>"312DN"</f>
        <v>312DN</v>
      </c>
      <c r="B877" s="1" t="s">
        <v>2037</v>
      </c>
      <c r="C877" s="1" t="s">
        <v>2038</v>
      </c>
      <c r="D877" s="1" t="s">
        <v>2906</v>
      </c>
      <c r="E877" s="1" t="s">
        <v>2677</v>
      </c>
      <c r="F877" s="1" t="str">
        <f>"282277016"</f>
        <v>282277016</v>
      </c>
      <c r="G877" s="1" t="str">
        <f>"8004826736"</f>
        <v>8004826736</v>
      </c>
      <c r="H877" s="1" t="s">
        <v>2637</v>
      </c>
    </row>
    <row r="878" spans="1:8" x14ac:dyDescent="0.25">
      <c r="A878" s="1" t="str">
        <f>"315DN"</f>
        <v>315DN</v>
      </c>
      <c r="B878" s="1" t="s">
        <v>2262</v>
      </c>
      <c r="C878" s="1" t="s">
        <v>2263</v>
      </c>
      <c r="D878" s="1" t="s">
        <v>3013</v>
      </c>
      <c r="E878" s="1" t="s">
        <v>2660</v>
      </c>
      <c r="F878" s="1" t="str">
        <f>"29413    "</f>
        <v xml:space="preserve">29413    </v>
      </c>
      <c r="G878" s="1" t="str">
        <f>"8437222115"</f>
        <v>8437222115</v>
      </c>
      <c r="H878" s="1" t="s">
        <v>2637</v>
      </c>
    </row>
    <row r="879" spans="1:8" x14ac:dyDescent="0.25">
      <c r="A879" s="1" t="str">
        <f>"321DN"</f>
        <v>321DN</v>
      </c>
      <c r="B879" s="1" t="s">
        <v>2085</v>
      </c>
      <c r="C879" s="1" t="s">
        <v>2461</v>
      </c>
      <c r="D879" s="1" t="s">
        <v>2462</v>
      </c>
      <c r="E879" s="1" t="s">
        <v>2647</v>
      </c>
      <c r="F879" s="1" t="str">
        <f>"21060    "</f>
        <v xml:space="preserve">21060    </v>
      </c>
      <c r="G879" s="1" t="str">
        <f>"8002222798"</f>
        <v>8002222798</v>
      </c>
      <c r="H879" s="1" t="s">
        <v>2637</v>
      </c>
    </row>
    <row r="880" spans="1:8" x14ac:dyDescent="0.25">
      <c r="A880" s="1" t="str">
        <f>"345DN"</f>
        <v>345DN</v>
      </c>
      <c r="B880" s="1" t="s">
        <v>2286</v>
      </c>
      <c r="C880" s="1" t="s">
        <v>2287</v>
      </c>
      <c r="D880" s="1" t="s">
        <v>2740</v>
      </c>
      <c r="E880" s="1" t="s">
        <v>2660</v>
      </c>
      <c r="F880" s="1" t="str">
        <f>"29716    "</f>
        <v xml:space="preserve">29716    </v>
      </c>
      <c r="G880" s="1" t="str">
        <f>"8002421510"</f>
        <v>8002421510</v>
      </c>
      <c r="H880" s="1" t="s">
        <v>2637</v>
      </c>
    </row>
    <row r="881" spans="1:8" x14ac:dyDescent="0.25">
      <c r="A881" s="1" t="str">
        <f>"386DN"</f>
        <v>386DN</v>
      </c>
      <c r="B881" s="1" t="s">
        <v>2266</v>
      </c>
      <c r="C881" s="1" t="s">
        <v>1561</v>
      </c>
      <c r="D881" s="1" t="s">
        <v>2854</v>
      </c>
      <c r="E881" s="1" t="s">
        <v>2636</v>
      </c>
      <c r="F881" s="1" t="str">
        <f>"79998    "</f>
        <v xml:space="preserve">79998    </v>
      </c>
      <c r="G881" s="1" t="str">
        <f>"8004427742"</f>
        <v>8004427742</v>
      </c>
      <c r="H881" s="1" t="s">
        <v>1562</v>
      </c>
    </row>
    <row r="882" spans="1:8" x14ac:dyDescent="0.25">
      <c r="A882" s="1" t="str">
        <f>"401DN"</f>
        <v>401DN</v>
      </c>
      <c r="B882" s="1" t="s">
        <v>1492</v>
      </c>
      <c r="C882" s="1" t="str">
        <f>"4101 PERCIVAL ROAD                                "</f>
        <v xml:space="preserve">4101 PERCIVAL ROAD                                </v>
      </c>
      <c r="D882" s="1" t="s">
        <v>2701</v>
      </c>
      <c r="E882" s="1" t="s">
        <v>2660</v>
      </c>
      <c r="F882" s="1" t="str">
        <f>"29219    "</f>
        <v xml:space="preserve">29219    </v>
      </c>
      <c r="G882" s="1" t="str">
        <f>"8037883860"</f>
        <v>8037883860</v>
      </c>
      <c r="H882" s="1" t="s">
        <v>1</v>
      </c>
    </row>
    <row r="883" spans="1:8" x14ac:dyDescent="0.25">
      <c r="A883" s="1" t="str">
        <f>"415DN"</f>
        <v>415DN</v>
      </c>
      <c r="B883" s="1" t="s">
        <v>2418</v>
      </c>
      <c r="C883" s="1" t="s">
        <v>2419</v>
      </c>
      <c r="D883" s="1" t="s">
        <v>2420</v>
      </c>
      <c r="E883" s="1" t="s">
        <v>2644</v>
      </c>
      <c r="F883" s="1" t="str">
        <f>"48909    "</f>
        <v xml:space="preserve">48909    </v>
      </c>
      <c r="G883" s="1" t="str">
        <f>"5173497010"</f>
        <v>5173497010</v>
      </c>
      <c r="H883" s="1" t="s">
        <v>2637</v>
      </c>
    </row>
    <row r="884" spans="1:8" x14ac:dyDescent="0.25">
      <c r="A884" s="1" t="str">
        <f>"476DN"</f>
        <v>476DN</v>
      </c>
      <c r="B884" s="1" t="s">
        <v>2532</v>
      </c>
      <c r="C884" s="1" t="s">
        <v>2533</v>
      </c>
      <c r="D884" s="1" t="s">
        <v>2534</v>
      </c>
      <c r="E884" s="1" t="s">
        <v>2786</v>
      </c>
      <c r="F884" s="1" t="str">
        <f>"60017    "</f>
        <v xml:space="preserve">60017    </v>
      </c>
      <c r="G884" s="1" t="str">
        <f>"8003235000"</f>
        <v>8003235000</v>
      </c>
      <c r="H884" s="1" t="s">
        <v>2637</v>
      </c>
    </row>
    <row r="885" spans="1:8" x14ac:dyDescent="0.25">
      <c r="A885" s="1" t="str">
        <f>"536DN"</f>
        <v>536DN</v>
      </c>
      <c r="B885" s="1" t="s">
        <v>1906</v>
      </c>
      <c r="C885" s="1" t="s">
        <v>1907</v>
      </c>
      <c r="D885" s="1" t="s">
        <v>2710</v>
      </c>
      <c r="E885" s="1" t="s">
        <v>2660</v>
      </c>
      <c r="F885" s="1" t="str">
        <f>"29606    "</f>
        <v xml:space="preserve">29606    </v>
      </c>
      <c r="G885" s="1" t="str">
        <f>"8642348200"</f>
        <v>8642348200</v>
      </c>
      <c r="H885" s="1" t="s">
        <v>2637</v>
      </c>
    </row>
    <row r="886" spans="1:8" x14ac:dyDescent="0.25">
      <c r="A886" s="1" t="str">
        <f>"552DN"</f>
        <v>552DN</v>
      </c>
      <c r="B886" s="1" t="s">
        <v>2102</v>
      </c>
      <c r="C886" s="1" t="str">
        <f>"6100 FAIRVIEW ROAD                                "</f>
        <v xml:space="preserve">6100 FAIRVIEW ROAD                                </v>
      </c>
      <c r="D886" s="1" t="s">
        <v>2906</v>
      </c>
      <c r="E886" s="1" t="s">
        <v>2677</v>
      </c>
      <c r="F886" s="1" t="str">
        <f>"28210    "</f>
        <v xml:space="preserve">28210    </v>
      </c>
      <c r="G886" s="1" t="str">
        <f>"8003275462"</f>
        <v>8003275462</v>
      </c>
      <c r="H886" s="1" t="s">
        <v>2637</v>
      </c>
    </row>
    <row r="887" spans="1:8" x14ac:dyDescent="0.25">
      <c r="A887" s="1" t="str">
        <f>"553DN"</f>
        <v>553DN</v>
      </c>
      <c r="B887" s="1" t="s">
        <v>1085</v>
      </c>
      <c r="C887" s="1" t="s">
        <v>1086</v>
      </c>
      <c r="D887" s="1" t="s">
        <v>2943</v>
      </c>
      <c r="E887" s="1" t="s">
        <v>2944</v>
      </c>
      <c r="F887" s="1" t="str">
        <f>"72203    "</f>
        <v xml:space="preserve">72203    </v>
      </c>
      <c r="G887" s="1" t="str">
        <f>"8008277026"</f>
        <v>8008277026</v>
      </c>
      <c r="H887" s="1" t="s">
        <v>2637</v>
      </c>
    </row>
    <row r="888" spans="1:8" x14ac:dyDescent="0.25">
      <c r="A888" s="1" t="str">
        <f>"709DN"</f>
        <v>709DN</v>
      </c>
      <c r="B888" s="1" t="s">
        <v>180</v>
      </c>
      <c r="C888" s="1" t="str">
        <f>"501 NORTH BROADWAY, SUITE 500                     "</f>
        <v xml:space="preserve">501 NORTH BROADWAY, SUITE 500                     </v>
      </c>
      <c r="D888" s="1" t="s">
        <v>917</v>
      </c>
      <c r="E888" s="1" t="s">
        <v>2670</v>
      </c>
      <c r="F888" s="1" t="str">
        <f>"63102    "</f>
        <v xml:space="preserve">63102    </v>
      </c>
      <c r="G888" s="1" t="str">
        <f>"8008687526"</f>
        <v>8008687526</v>
      </c>
      <c r="H888" s="1" t="s">
        <v>181</v>
      </c>
    </row>
    <row r="889" spans="1:8" x14ac:dyDescent="0.25">
      <c r="A889" s="1" t="str">
        <f>"751DN"</f>
        <v>751DN</v>
      </c>
      <c r="B889" s="1" t="s">
        <v>2380</v>
      </c>
      <c r="C889" s="1" t="s">
        <v>2381</v>
      </c>
      <c r="D889" s="1" t="s">
        <v>2382</v>
      </c>
      <c r="E889" s="1" t="s">
        <v>2714</v>
      </c>
      <c r="F889" s="1" t="str">
        <f>"43015-   "</f>
        <v xml:space="preserve">43015-   </v>
      </c>
      <c r="G889" s="1" t="str">
        <f>"8002340225"</f>
        <v>8002340225</v>
      </c>
      <c r="H889" s="1" t="s">
        <v>2637</v>
      </c>
    </row>
    <row r="890" spans="1:8" x14ac:dyDescent="0.25">
      <c r="A890" s="1" t="str">
        <f>"751RX"</f>
        <v>751RX</v>
      </c>
      <c r="B890" s="1" t="s">
        <v>2380</v>
      </c>
      <c r="C890" s="1" t="s">
        <v>2381</v>
      </c>
      <c r="D890" s="1" t="s">
        <v>2382</v>
      </c>
      <c r="E890" s="1" t="s">
        <v>2714</v>
      </c>
      <c r="F890" s="1" t="str">
        <f>"43015-   "</f>
        <v xml:space="preserve">43015-   </v>
      </c>
      <c r="G890" s="1" t="str">
        <f>"8002340225"</f>
        <v>8002340225</v>
      </c>
      <c r="H890" s="1" t="s">
        <v>2637</v>
      </c>
    </row>
    <row r="891" spans="1:8" x14ac:dyDescent="0.25">
      <c r="A891" s="1" t="str">
        <f>"766DN"</f>
        <v>766DN</v>
      </c>
      <c r="B891" s="1" t="s">
        <v>2606</v>
      </c>
      <c r="C891" s="1" t="s">
        <v>2607</v>
      </c>
      <c r="D891" s="1" t="s">
        <v>2680</v>
      </c>
      <c r="E891" s="1" t="s">
        <v>2681</v>
      </c>
      <c r="F891" s="1" t="str">
        <f>"31402    "</f>
        <v xml:space="preserve">31402    </v>
      </c>
      <c r="G891" s="1" t="str">
        <f>"9122346621"</f>
        <v>9122346621</v>
      </c>
      <c r="H891" s="1" t="s">
        <v>2637</v>
      </c>
    </row>
    <row r="892" spans="1:8" x14ac:dyDescent="0.25">
      <c r="A892" s="1" t="str">
        <f>"781DN"</f>
        <v>781DN</v>
      </c>
      <c r="B892" s="1" t="s">
        <v>2156</v>
      </c>
      <c r="C892" s="1" t="s">
        <v>2157</v>
      </c>
      <c r="D892" s="1" t="s">
        <v>2906</v>
      </c>
      <c r="E892" s="1" t="s">
        <v>2677</v>
      </c>
      <c r="F892" s="1" t="str">
        <f>"282202995"</f>
        <v>282202995</v>
      </c>
      <c r="G892" s="1" t="str">
        <f>"8003340609"</f>
        <v>8003340609</v>
      </c>
      <c r="H892" s="1" t="s">
        <v>2637</v>
      </c>
    </row>
    <row r="893" spans="1:8" x14ac:dyDescent="0.25">
      <c r="A893" s="1" t="str">
        <f>"842DN"</f>
        <v>842DN</v>
      </c>
      <c r="B893" s="1" t="s">
        <v>2203</v>
      </c>
      <c r="C893" s="1" t="s">
        <v>2204</v>
      </c>
      <c r="D893" s="1" t="s">
        <v>2705</v>
      </c>
      <c r="E893" s="1" t="s">
        <v>2706</v>
      </c>
      <c r="F893" s="1" t="str">
        <f>"462400619"</f>
        <v>462400619</v>
      </c>
      <c r="G893" s="1" t="str">
        <f>"3172579131"</f>
        <v>3172579131</v>
      </c>
      <c r="H893" s="1" t="s">
        <v>2637</v>
      </c>
    </row>
    <row r="894" spans="1:8" x14ac:dyDescent="0.25">
      <c r="A894" s="1" t="str">
        <f>"857DN"</f>
        <v>857DN</v>
      </c>
      <c r="B894" s="1" t="s">
        <v>1599</v>
      </c>
      <c r="C894" s="1" t="s">
        <v>77</v>
      </c>
      <c r="D894" s="1" t="s">
        <v>2906</v>
      </c>
      <c r="E894" s="1" t="s">
        <v>2677</v>
      </c>
      <c r="F894" s="1" t="str">
        <f>"28220    "</f>
        <v xml:space="preserve">28220    </v>
      </c>
      <c r="G894" s="1" t="str">
        <f>"7043730447"</f>
        <v>7043730447</v>
      </c>
      <c r="H894" s="1" t="s">
        <v>2637</v>
      </c>
    </row>
    <row r="895" spans="1:8" x14ac:dyDescent="0.25">
      <c r="A895" s="1" t="str">
        <f>"885DN"</f>
        <v>885DN</v>
      </c>
      <c r="B895" s="1" t="s">
        <v>2315</v>
      </c>
      <c r="C895" s="1" t="s">
        <v>2316</v>
      </c>
      <c r="D895" s="1" t="s">
        <v>2317</v>
      </c>
      <c r="E895" s="1" t="s">
        <v>2832</v>
      </c>
      <c r="F895" s="1" t="str">
        <f>"33102    "</f>
        <v xml:space="preserve">33102    </v>
      </c>
      <c r="G895" s="1" t="str">
        <f>"8003284316"</f>
        <v>8003284316</v>
      </c>
      <c r="H895" s="1" t="s">
        <v>2637</v>
      </c>
    </row>
    <row r="896" spans="1:8" x14ac:dyDescent="0.25">
      <c r="A896" s="1" t="str">
        <f>"886DN"</f>
        <v>886DN</v>
      </c>
      <c r="B896" s="1" t="s">
        <v>3290</v>
      </c>
      <c r="C896" s="1" t="s">
        <v>3291</v>
      </c>
      <c r="D896" s="1" t="s">
        <v>2701</v>
      </c>
      <c r="E896" s="1" t="s">
        <v>2660</v>
      </c>
      <c r="F896" s="1" t="str">
        <f>"29260    "</f>
        <v xml:space="preserve">29260    </v>
      </c>
      <c r="G896" s="1" t="str">
        <f>"8037540041"</f>
        <v>8037540041</v>
      </c>
      <c r="H896" s="1" t="s">
        <v>2637</v>
      </c>
    </row>
    <row r="897" spans="1:8" x14ac:dyDescent="0.25">
      <c r="A897" s="1" t="str">
        <f>"889DN"</f>
        <v>889DN</v>
      </c>
      <c r="B897" s="1" t="s">
        <v>3140</v>
      </c>
      <c r="C897" s="1" t="str">
        <f>"3350 PEACHTREE RD NE SUITE 1040                   "</f>
        <v xml:space="preserve">3350 PEACHTREE RD NE SUITE 1040                   </v>
      </c>
      <c r="D897" s="1" t="s">
        <v>2717</v>
      </c>
      <c r="E897" s="1" t="s">
        <v>2681</v>
      </c>
      <c r="F897" s="1" t="str">
        <f>"30326    "</f>
        <v xml:space="preserve">30326    </v>
      </c>
      <c r="G897" s="1" t="str">
        <f>"8006210683"</f>
        <v>8006210683</v>
      </c>
      <c r="H897" s="1" t="s">
        <v>2637</v>
      </c>
    </row>
    <row r="898" spans="1:8" x14ac:dyDescent="0.25">
      <c r="A898" s="1" t="str">
        <f>"909DN"</f>
        <v>909DN</v>
      </c>
      <c r="B898" s="1" t="s">
        <v>1007</v>
      </c>
      <c r="C898" s="1" t="str">
        <f>"300 CORPORATE PKWY. SUITE 3                       "</f>
        <v xml:space="preserve">300 CORPORATE PKWY. SUITE 3                       </v>
      </c>
      <c r="D898" s="1" t="s">
        <v>3085</v>
      </c>
      <c r="E898" s="1" t="s">
        <v>3086</v>
      </c>
      <c r="F898" s="1" t="str">
        <f>"35242    "</f>
        <v xml:space="preserve">35242    </v>
      </c>
      <c r="G898" s="1" t="str">
        <f>"2059691155"</f>
        <v>2059691155</v>
      </c>
      <c r="H898" s="1" t="s">
        <v>2637</v>
      </c>
    </row>
    <row r="899" spans="1:8" x14ac:dyDescent="0.25">
      <c r="A899" s="1" t="str">
        <f>"958DN"</f>
        <v>958DN</v>
      </c>
      <c r="B899" s="1" t="s">
        <v>1488</v>
      </c>
      <c r="C899" s="1" t="s">
        <v>1489</v>
      </c>
      <c r="D899" s="1" t="s">
        <v>2680</v>
      </c>
      <c r="E899" s="1" t="s">
        <v>2681</v>
      </c>
      <c r="F899" s="1" t="str">
        <f>"31416    "</f>
        <v xml:space="preserve">31416    </v>
      </c>
      <c r="G899" s="1" t="str">
        <f>"9123527169"</f>
        <v>9123527169</v>
      </c>
      <c r="H899" s="1" t="s">
        <v>2637</v>
      </c>
    </row>
    <row r="900" spans="1:8" x14ac:dyDescent="0.25">
      <c r="A900" s="1" t="s">
        <v>443</v>
      </c>
      <c r="B900" s="1" t="s">
        <v>444</v>
      </c>
      <c r="C900" s="1" t="str">
        <f>"4341 N. BALLARD RD                                "</f>
        <v xml:space="preserve">4341 N. BALLARD RD                                </v>
      </c>
      <c r="D900" s="1" t="s">
        <v>2666</v>
      </c>
      <c r="E900" s="1" t="s">
        <v>2667</v>
      </c>
      <c r="F900" s="1" t="str">
        <f>"54919    "</f>
        <v xml:space="preserve">54919    </v>
      </c>
      <c r="G900" s="1" t="str">
        <f>"8008474836"</f>
        <v>8008474836</v>
      </c>
      <c r="H900" s="1" t="s">
        <v>2637</v>
      </c>
    </row>
    <row r="901" spans="1:8" x14ac:dyDescent="0.25">
      <c r="A901" s="1" t="s">
        <v>157</v>
      </c>
      <c r="B901" s="1" t="s">
        <v>158</v>
      </c>
      <c r="C901" s="1" t="str">
        <f>"2920 BRANDYWINE RD.  STE. 106                     "</f>
        <v xml:space="preserve">2920 BRANDYWINE RD.  STE. 106                     </v>
      </c>
      <c r="D901" s="1" t="s">
        <v>2717</v>
      </c>
      <c r="E901" s="1" t="s">
        <v>2681</v>
      </c>
      <c r="F901" s="1" t="str">
        <f>"30341    "</f>
        <v xml:space="preserve">30341    </v>
      </c>
      <c r="G901" s="1" t="str">
        <f>"8002417319"</f>
        <v>8002417319</v>
      </c>
      <c r="H901" s="1" t="s">
        <v>2637</v>
      </c>
    </row>
    <row r="902" spans="1:8" x14ac:dyDescent="0.25">
      <c r="A902" s="1" t="s">
        <v>3260</v>
      </c>
      <c r="B902" s="1" t="s">
        <v>3261</v>
      </c>
      <c r="C902" s="1" t="s">
        <v>3262</v>
      </c>
      <c r="D902" s="1" t="s">
        <v>3263</v>
      </c>
      <c r="E902" s="1" t="s">
        <v>3264</v>
      </c>
      <c r="F902" s="1" t="str">
        <f>"52733    "</f>
        <v xml:space="preserve">52733    </v>
      </c>
      <c r="G902" s="1" t="str">
        <f>"8005221246"</f>
        <v>8005221246</v>
      </c>
      <c r="H902" s="1" t="s">
        <v>3265</v>
      </c>
    </row>
    <row r="903" spans="1:8" x14ac:dyDescent="0.25">
      <c r="A903" s="1" t="s">
        <v>1433</v>
      </c>
      <c r="B903" s="1" t="s">
        <v>1434</v>
      </c>
      <c r="C903" s="1" t="str">
        <f>"9040 ROSWELL ROAD SUITE 700                       "</f>
        <v xml:space="preserve">9040 ROSWELL ROAD SUITE 700                       </v>
      </c>
      <c r="D903" s="1" t="s">
        <v>2717</v>
      </c>
      <c r="E903" s="1" t="s">
        <v>2681</v>
      </c>
      <c r="F903" s="1" t="str">
        <f>"303501853"</f>
        <v>303501853</v>
      </c>
      <c r="G903" s="1" t="str">
        <f>"8003654944"</f>
        <v>8003654944</v>
      </c>
      <c r="H903" s="1" t="s">
        <v>2637</v>
      </c>
    </row>
    <row r="904" spans="1:8" x14ac:dyDescent="0.25">
      <c r="A904" s="1" t="s">
        <v>124</v>
      </c>
      <c r="B904" s="1" t="s">
        <v>125</v>
      </c>
      <c r="C904" s="1" t="s">
        <v>126</v>
      </c>
      <c r="D904" s="1" t="s">
        <v>3160</v>
      </c>
      <c r="E904" s="1" t="s">
        <v>3161</v>
      </c>
      <c r="F904" s="1" t="str">
        <f>"39205    "</f>
        <v xml:space="preserve">39205    </v>
      </c>
      <c r="G904" s="1" t="str">
        <f>"8002568606"</f>
        <v>8002568606</v>
      </c>
      <c r="H904" s="1" t="s">
        <v>2637</v>
      </c>
    </row>
    <row r="905" spans="1:8" x14ac:dyDescent="0.25">
      <c r="A905" s="1" t="s">
        <v>2777</v>
      </c>
      <c r="B905" s="1" t="s">
        <v>2778</v>
      </c>
      <c r="C905" s="1" t="str">
        <f>"1818 MARKET STREET                                "</f>
        <v xml:space="preserve">1818 MARKET STREET                                </v>
      </c>
      <c r="D905" s="1" t="s">
        <v>2752</v>
      </c>
      <c r="E905" s="1" t="s">
        <v>2697</v>
      </c>
      <c r="F905" s="1" t="str">
        <f>"191811250"</f>
        <v>191811250</v>
      </c>
      <c r="G905" s="1" t="str">
        <f>"8005234000"</f>
        <v>8005234000</v>
      </c>
      <c r="H905" s="1" t="s">
        <v>2779</v>
      </c>
    </row>
    <row r="906" spans="1:8" x14ac:dyDescent="0.25">
      <c r="A906" s="1" t="s">
        <v>1689</v>
      </c>
      <c r="B906" s="1" t="s">
        <v>1690</v>
      </c>
      <c r="C906" s="1" t="s">
        <v>1691</v>
      </c>
      <c r="D906" s="1" t="s">
        <v>2701</v>
      </c>
      <c r="E906" s="1" t="s">
        <v>2660</v>
      </c>
      <c r="F906" s="1" t="str">
        <f>"29260    "</f>
        <v xml:space="preserve">29260    </v>
      </c>
      <c r="G906" s="1" t="str">
        <f>"8037824947"</f>
        <v>8037824947</v>
      </c>
      <c r="H906" s="1" t="s">
        <v>2637</v>
      </c>
    </row>
    <row r="907" spans="1:8" x14ac:dyDescent="0.25">
      <c r="A907" s="1" t="s">
        <v>1463</v>
      </c>
      <c r="B907" s="1" t="s">
        <v>1464</v>
      </c>
      <c r="C907" s="1" t="s">
        <v>1465</v>
      </c>
      <c r="D907" s="1" t="s">
        <v>1466</v>
      </c>
      <c r="E907" s="1" t="s">
        <v>2902</v>
      </c>
      <c r="F907" s="1" t="str">
        <f>"55121    "</f>
        <v xml:space="preserve">55121    </v>
      </c>
      <c r="G907" s="1" t="str">
        <f>"8664290608"</f>
        <v>8664290608</v>
      </c>
      <c r="H907" s="1" t="s">
        <v>2637</v>
      </c>
    </row>
    <row r="908" spans="1:8" x14ac:dyDescent="0.25">
      <c r="A908" s="1" t="s">
        <v>3153</v>
      </c>
      <c r="B908" s="1" t="s">
        <v>3154</v>
      </c>
      <c r="C908" s="1" t="str">
        <f>"221 N CHARLES LINDBERG DR                         "</f>
        <v xml:space="preserve">221 N CHARLES LINDBERG DR                         </v>
      </c>
      <c r="D908" s="1" t="s">
        <v>2673</v>
      </c>
      <c r="E908" s="1" t="s">
        <v>2674</v>
      </c>
      <c r="F908" s="1" t="str">
        <f>"84116    "</f>
        <v xml:space="preserve">84116    </v>
      </c>
      <c r="G908" s="1" t="str">
        <f>"8007708014"</f>
        <v>8007708014</v>
      </c>
      <c r="H908" s="1" t="s">
        <v>2637</v>
      </c>
    </row>
    <row r="909" spans="1:8" x14ac:dyDescent="0.25">
      <c r="A909" s="1" t="s">
        <v>1392</v>
      </c>
      <c r="B909" s="1" t="s">
        <v>1393</v>
      </c>
      <c r="C909" s="1" t="str">
        <f>"4301 DARROW RD.  STE. 4200                        "</f>
        <v xml:space="preserve">4301 DARROW RD.  STE. 4200                        </v>
      </c>
      <c r="D909" s="1" t="s">
        <v>1394</v>
      </c>
      <c r="E909" s="1" t="s">
        <v>2714</v>
      </c>
      <c r="F909" s="1" t="str">
        <f>"44224    "</f>
        <v xml:space="preserve">44224    </v>
      </c>
      <c r="G909" s="1" t="str">
        <f>"8006816912"</f>
        <v>8006816912</v>
      </c>
      <c r="H909" s="1" t="s">
        <v>2637</v>
      </c>
    </row>
    <row r="910" spans="1:8" x14ac:dyDescent="0.25">
      <c r="A910" s="1" t="s">
        <v>1883</v>
      </c>
      <c r="B910" s="1" t="s">
        <v>1884</v>
      </c>
      <c r="C910" s="1" t="s">
        <v>1885</v>
      </c>
      <c r="D910" s="1" t="s">
        <v>2981</v>
      </c>
      <c r="E910" s="1" t="s">
        <v>2832</v>
      </c>
      <c r="F910" s="1" t="str">
        <f>"336798263"</f>
        <v>336798263</v>
      </c>
      <c r="G910" s="1" t="str">
        <f>"8772767198"</f>
        <v>8772767198</v>
      </c>
      <c r="H910" s="1" t="s">
        <v>2637</v>
      </c>
    </row>
    <row r="911" spans="1:8" x14ac:dyDescent="0.25">
      <c r="A911" s="1" t="s">
        <v>2121</v>
      </c>
      <c r="B911" s="1" t="s">
        <v>2986</v>
      </c>
      <c r="C911" s="1" t="s">
        <v>2987</v>
      </c>
      <c r="D911" s="1" t="s">
        <v>2988</v>
      </c>
      <c r="E911" s="1" t="s">
        <v>2989</v>
      </c>
      <c r="F911" s="1" t="str">
        <f>"83616    "</f>
        <v xml:space="preserve">83616    </v>
      </c>
      <c r="G911" s="1" t="str">
        <f>"8669527979"</f>
        <v>8669527979</v>
      </c>
      <c r="H911" s="1" t="s">
        <v>2637</v>
      </c>
    </row>
    <row r="912" spans="1:8" x14ac:dyDescent="0.25">
      <c r="A912" s="1" t="s">
        <v>1130</v>
      </c>
      <c r="B912" s="1" t="s">
        <v>1131</v>
      </c>
      <c r="C912" s="1" t="s">
        <v>1132</v>
      </c>
      <c r="D912" s="1" t="s">
        <v>2680</v>
      </c>
      <c r="E912" s="1" t="s">
        <v>2681</v>
      </c>
      <c r="F912" s="1" t="str">
        <f>"31412    "</f>
        <v xml:space="preserve">31412    </v>
      </c>
      <c r="G912" s="1" t="str">
        <f>"8004043344"</f>
        <v>8004043344</v>
      </c>
      <c r="H912" s="1" t="s">
        <v>2637</v>
      </c>
    </row>
    <row r="913" spans="1:8" x14ac:dyDescent="0.25">
      <c r="A913" s="1" t="s">
        <v>1543</v>
      </c>
      <c r="B913" s="1" t="s">
        <v>1544</v>
      </c>
      <c r="C913" s="1" t="str">
        <f>"2045 MIDWAY DR                                    "</f>
        <v xml:space="preserve">2045 MIDWAY DR                                    </v>
      </c>
      <c r="D913" s="1" t="s">
        <v>2997</v>
      </c>
      <c r="E913" s="1" t="s">
        <v>2714</v>
      </c>
      <c r="F913" s="1" t="str">
        <f>"44087    "</f>
        <v xml:space="preserve">44087    </v>
      </c>
      <c r="G913" s="1" t="str">
        <f>"8008007153"</f>
        <v>8008007153</v>
      </c>
      <c r="H913" s="1" t="s">
        <v>2637</v>
      </c>
    </row>
    <row r="914" spans="1:8" x14ac:dyDescent="0.25">
      <c r="A914" s="1" t="s">
        <v>470</v>
      </c>
      <c r="B914" s="1" t="s">
        <v>471</v>
      </c>
      <c r="C914" s="1" t="s">
        <v>472</v>
      </c>
      <c r="D914" s="1" t="s">
        <v>917</v>
      </c>
      <c r="E914" s="1" t="s">
        <v>2670</v>
      </c>
      <c r="F914" s="1" t="str">
        <f>"631016922"</f>
        <v>631016922</v>
      </c>
      <c r="G914" s="1" t="str">
        <f>"8007596959"</f>
        <v>8007596959</v>
      </c>
      <c r="H914" s="1" t="s">
        <v>2637</v>
      </c>
    </row>
    <row r="915" spans="1:8" x14ac:dyDescent="0.25">
      <c r="A915" s="1" t="s">
        <v>987</v>
      </c>
      <c r="B915" s="1" t="s">
        <v>988</v>
      </c>
      <c r="C915" s="1" t="str">
        <f>"4615 WALZEM ROAD STE 300                          "</f>
        <v xml:space="preserve">4615 WALZEM ROAD STE 300                          </v>
      </c>
      <c r="D915" s="1" t="s">
        <v>2985</v>
      </c>
      <c r="E915" s="1" t="s">
        <v>2636</v>
      </c>
      <c r="F915" s="1" t="str">
        <f>"782181610"</f>
        <v>782181610</v>
      </c>
      <c r="G915" s="1" t="str">
        <f>"8008999355"</f>
        <v>8008999355</v>
      </c>
      <c r="H915" s="1" t="s">
        <v>2637</v>
      </c>
    </row>
    <row r="916" spans="1:8" x14ac:dyDescent="0.25">
      <c r="A916" s="1" t="s">
        <v>329</v>
      </c>
      <c r="B916" s="1" t="s">
        <v>330</v>
      </c>
      <c r="C916" s="1" t="str">
        <f>"2680 GRAND ISLAND BLVD                            "</f>
        <v xml:space="preserve">2680 GRAND ISLAND BLVD                            </v>
      </c>
      <c r="D916" s="1" t="s">
        <v>331</v>
      </c>
      <c r="E916" s="1" t="s">
        <v>2773</v>
      </c>
      <c r="F916" s="1" t="str">
        <f>"140720308"</f>
        <v>140720308</v>
      </c>
      <c r="G916" s="1" t="str">
        <f>"8003333195"</f>
        <v>8003333195</v>
      </c>
      <c r="H916" s="1" t="s">
        <v>2637</v>
      </c>
    </row>
    <row r="917" spans="1:8" x14ac:dyDescent="0.25">
      <c r="A917" s="1" t="s">
        <v>499</v>
      </c>
      <c r="B917" s="1" t="s">
        <v>500</v>
      </c>
      <c r="C917" s="1" t="s">
        <v>501</v>
      </c>
      <c r="D917" s="1" t="s">
        <v>502</v>
      </c>
      <c r="E917" s="1" t="s">
        <v>503</v>
      </c>
      <c r="F917" s="1" t="str">
        <f>"05823    "</f>
        <v xml:space="preserve">05823    </v>
      </c>
      <c r="G917" s="1" t="str">
        <f>"8888421530"</f>
        <v>8888421530</v>
      </c>
      <c r="H917" s="1" t="s">
        <v>2688</v>
      </c>
    </row>
    <row r="918" spans="1:8" x14ac:dyDescent="0.25">
      <c r="A918" s="1" t="s">
        <v>3252</v>
      </c>
      <c r="B918" s="1" t="s">
        <v>3253</v>
      </c>
      <c r="C918" s="1" t="str">
        <f>"3 TOILSOME LANE                                   "</f>
        <v xml:space="preserve">3 TOILSOME LANE                                   </v>
      </c>
      <c r="D918" s="1" t="s">
        <v>3254</v>
      </c>
      <c r="E918" s="1" t="s">
        <v>2773</v>
      </c>
      <c r="F918" s="1" t="str">
        <f>"11937    "</f>
        <v xml:space="preserve">11937    </v>
      </c>
      <c r="G918" s="1" t="str">
        <f>"8009262306"</f>
        <v>8009262306</v>
      </c>
      <c r="H918" s="1" t="s">
        <v>2688</v>
      </c>
    </row>
    <row r="919" spans="1:8" x14ac:dyDescent="0.25">
      <c r="A919" s="1" t="s">
        <v>1012</v>
      </c>
      <c r="B919" s="1" t="s">
        <v>1013</v>
      </c>
      <c r="C919" s="1" t="s">
        <v>1014</v>
      </c>
      <c r="D919" s="1" t="s">
        <v>2246</v>
      </c>
      <c r="E919" s="1" t="s">
        <v>2714</v>
      </c>
      <c r="F919" s="1" t="str">
        <f>"443155276"</f>
        <v>443155276</v>
      </c>
      <c r="G919" s="1" t="str">
        <f>"8003258424"</f>
        <v>8003258424</v>
      </c>
      <c r="H919" s="1" t="s">
        <v>2637</v>
      </c>
    </row>
    <row r="920" spans="1:8" x14ac:dyDescent="0.25">
      <c r="A920" s="1" t="s">
        <v>631</v>
      </c>
      <c r="B920" s="1" t="s">
        <v>1013</v>
      </c>
      <c r="C920" s="1" t="s">
        <v>1014</v>
      </c>
      <c r="D920" s="1" t="s">
        <v>2246</v>
      </c>
      <c r="E920" s="1" t="s">
        <v>2714</v>
      </c>
      <c r="F920" s="1" t="str">
        <f>"443155276"</f>
        <v>443155276</v>
      </c>
      <c r="G920" s="1" t="str">
        <f>"8003258424"</f>
        <v>8003258424</v>
      </c>
      <c r="H920" s="1" t="s">
        <v>2637</v>
      </c>
    </row>
    <row r="921" spans="1:8" x14ac:dyDescent="0.25">
      <c r="A921" s="1" t="s">
        <v>883</v>
      </c>
      <c r="B921" s="1" t="s">
        <v>884</v>
      </c>
      <c r="C921" s="1" t="s">
        <v>885</v>
      </c>
      <c r="D921" s="1" t="s">
        <v>2910</v>
      </c>
      <c r="E921" s="1" t="s">
        <v>2681</v>
      </c>
      <c r="F921" s="1" t="str">
        <f>"31799    "</f>
        <v xml:space="preserve">31799    </v>
      </c>
      <c r="G921" s="1" t="str">
        <f>"8884261937"</f>
        <v>8884261937</v>
      </c>
      <c r="H921" s="1" t="s">
        <v>2688</v>
      </c>
    </row>
    <row r="922" spans="1:8" x14ac:dyDescent="0.25">
      <c r="A922" s="1" t="s">
        <v>1563</v>
      </c>
      <c r="B922" s="1" t="s">
        <v>1564</v>
      </c>
      <c r="C922" s="1" t="s">
        <v>1565</v>
      </c>
      <c r="D922" s="1" t="s">
        <v>2058</v>
      </c>
      <c r="E922" s="1" t="s">
        <v>2677</v>
      </c>
      <c r="F922" s="1" t="str">
        <f>"274270830"</f>
        <v>274270830</v>
      </c>
      <c r="G922" s="1" t="str">
        <f>"8008527040"</f>
        <v>8008527040</v>
      </c>
      <c r="H922" s="1" t="s">
        <v>2637</v>
      </c>
    </row>
    <row r="923" spans="1:8" x14ac:dyDescent="0.25">
      <c r="A923" s="1" t="s">
        <v>1513</v>
      </c>
      <c r="B923" s="1" t="s">
        <v>1514</v>
      </c>
      <c r="C923" s="1" t="s">
        <v>1515</v>
      </c>
      <c r="D923" s="1" t="s">
        <v>3166</v>
      </c>
      <c r="E923" s="1" t="s">
        <v>2667</v>
      </c>
      <c r="F923" s="1" t="str">
        <f>"532230237"</f>
        <v>532230237</v>
      </c>
      <c r="G923" s="1" t="str">
        <f>"8007593203"</f>
        <v>8007593203</v>
      </c>
      <c r="H923" s="1" t="s">
        <v>2637</v>
      </c>
    </row>
    <row r="924" spans="1:8" x14ac:dyDescent="0.25">
      <c r="A924" s="1" t="s">
        <v>2205</v>
      </c>
      <c r="B924" s="1" t="s">
        <v>2206</v>
      </c>
      <c r="C924" s="1" t="s">
        <v>2207</v>
      </c>
      <c r="D924" s="1" t="s">
        <v>3070</v>
      </c>
      <c r="E924" s="1" t="s">
        <v>2714</v>
      </c>
      <c r="F924" s="1" t="str">
        <f>"45250    "</f>
        <v xml:space="preserve">45250    </v>
      </c>
      <c r="G924" s="1" t="str">
        <f>"8009627378"</f>
        <v>8009627378</v>
      </c>
      <c r="H924" s="1" t="s">
        <v>2208</v>
      </c>
    </row>
    <row r="925" spans="1:8" x14ac:dyDescent="0.25">
      <c r="A925" s="1" t="s">
        <v>2201</v>
      </c>
      <c r="B925" s="1" t="s">
        <v>2202</v>
      </c>
      <c r="C925" s="1" t="str">
        <f>"8300 E. MAPLEWOOD AVE                             "</f>
        <v xml:space="preserve">8300 E. MAPLEWOOD AVE                             </v>
      </c>
      <c r="D925" s="1" t="s">
        <v>2912</v>
      </c>
      <c r="E925" s="1" t="s">
        <v>2826</v>
      </c>
      <c r="F925" s="1" t="str">
        <f>"80111    "</f>
        <v xml:space="preserve">80111    </v>
      </c>
      <c r="G925" s="1" t="str">
        <f>"8003453189"</f>
        <v>8003453189</v>
      </c>
      <c r="H925" s="1" t="s">
        <v>2637</v>
      </c>
    </row>
    <row r="926" spans="1:8" x14ac:dyDescent="0.25">
      <c r="A926" s="1" t="s">
        <v>1306</v>
      </c>
      <c r="B926" s="1" t="s">
        <v>1307</v>
      </c>
      <c r="C926" s="1" t="s">
        <v>1308</v>
      </c>
      <c r="D926" s="1" t="s">
        <v>2531</v>
      </c>
      <c r="E926" s="1" t="s">
        <v>2636</v>
      </c>
      <c r="F926" s="1" t="str">
        <f>"79490    "</f>
        <v xml:space="preserve">79490    </v>
      </c>
      <c r="G926" s="1" t="str">
        <f>"8002792290"</f>
        <v>8002792290</v>
      </c>
      <c r="H926" s="1" t="s">
        <v>2637</v>
      </c>
    </row>
    <row r="927" spans="1:8" x14ac:dyDescent="0.25">
      <c r="A927" s="1" t="s">
        <v>2846</v>
      </c>
      <c r="B927" s="1" t="s">
        <v>2847</v>
      </c>
      <c r="C927" s="1" t="str">
        <f>"25 COLUMBIA HEIGHTS                               "</f>
        <v xml:space="preserve">25 COLUMBIA HEIGHTS                               </v>
      </c>
      <c r="D927" s="1" t="s">
        <v>2848</v>
      </c>
      <c r="E927" s="1" t="s">
        <v>2773</v>
      </c>
      <c r="F927" s="1" t="str">
        <f>"112012482"</f>
        <v>112012482</v>
      </c>
      <c r="G927" s="1" t="str">
        <f>"8005544022"</f>
        <v>8005544022</v>
      </c>
      <c r="H927" s="1" t="s">
        <v>2760</v>
      </c>
    </row>
    <row r="928" spans="1:8" x14ac:dyDescent="0.25">
      <c r="A928" s="1" t="s">
        <v>924</v>
      </c>
      <c r="B928" s="1" t="s">
        <v>925</v>
      </c>
      <c r="C928" s="1" t="s">
        <v>926</v>
      </c>
      <c r="D928" s="1" t="s">
        <v>927</v>
      </c>
      <c r="E928" s="1" t="s">
        <v>3164</v>
      </c>
      <c r="F928" s="1" t="str">
        <f>"24029    "</f>
        <v xml:space="preserve">24029    </v>
      </c>
      <c r="G928" s="1" t="str">
        <f>"8008485433"</f>
        <v>8008485433</v>
      </c>
      <c r="H928" s="1" t="s">
        <v>2637</v>
      </c>
    </row>
    <row r="929" spans="1:8" x14ac:dyDescent="0.25">
      <c r="A929" s="1" t="s">
        <v>687</v>
      </c>
      <c r="B929" s="1" t="s">
        <v>688</v>
      </c>
      <c r="C929" s="1" t="s">
        <v>689</v>
      </c>
      <c r="D929" s="1" t="s">
        <v>2705</v>
      </c>
      <c r="E929" s="1" t="s">
        <v>2706</v>
      </c>
      <c r="F929" s="1" t="str">
        <f>"46280    "</f>
        <v xml:space="preserve">46280    </v>
      </c>
      <c r="G929" s="1" t="str">
        <f>"8006064841"</f>
        <v>8006064841</v>
      </c>
      <c r="H929" s="1" t="s">
        <v>2637</v>
      </c>
    </row>
    <row r="930" spans="1:8" x14ac:dyDescent="0.25">
      <c r="A930" s="1" t="s">
        <v>1889</v>
      </c>
      <c r="B930" s="1" t="s">
        <v>1777</v>
      </c>
      <c r="C930" s="1" t="s">
        <v>1778</v>
      </c>
      <c r="D930" s="1" t="s">
        <v>1779</v>
      </c>
      <c r="E930" s="1" t="s">
        <v>2773</v>
      </c>
      <c r="F930" s="1" t="str">
        <f>"130880678"</f>
        <v>130880678</v>
      </c>
      <c r="G930" s="1" t="str">
        <f>"8772047086"</f>
        <v>8772047086</v>
      </c>
      <c r="H930" s="1" t="s">
        <v>2637</v>
      </c>
    </row>
    <row r="931" spans="1:8" x14ac:dyDescent="0.25">
      <c r="A931" s="1" t="s">
        <v>1776</v>
      </c>
      <c r="B931" s="1" t="s">
        <v>1777</v>
      </c>
      <c r="C931" s="1" t="s">
        <v>1778</v>
      </c>
      <c r="D931" s="1" t="s">
        <v>1779</v>
      </c>
      <c r="E931" s="1" t="s">
        <v>2773</v>
      </c>
      <c r="F931" s="1" t="str">
        <f>"130880678"</f>
        <v>130880678</v>
      </c>
      <c r="G931" s="1" t="str">
        <f>"8772047086"</f>
        <v>8772047086</v>
      </c>
      <c r="H931" s="1" t="s">
        <v>2637</v>
      </c>
    </row>
    <row r="932" spans="1:8" x14ac:dyDescent="0.25">
      <c r="A932" s="1" t="s">
        <v>762</v>
      </c>
      <c r="B932" s="1" t="s">
        <v>763</v>
      </c>
      <c r="C932" s="1" t="s">
        <v>764</v>
      </c>
      <c r="D932" s="1" t="s">
        <v>765</v>
      </c>
      <c r="E932" s="1" t="s">
        <v>2667</v>
      </c>
      <c r="F932" s="1" t="str">
        <f>"535831374"</f>
        <v>535831374</v>
      </c>
      <c r="G932" s="1" t="str">
        <f>"8003623308"</f>
        <v>8003623308</v>
      </c>
      <c r="H932" s="1" t="s">
        <v>2637</v>
      </c>
    </row>
    <row r="933" spans="1:8" x14ac:dyDescent="0.25">
      <c r="A933" s="1" t="s">
        <v>386</v>
      </c>
      <c r="B933" s="1" t="s">
        <v>387</v>
      </c>
      <c r="C933" s="1" t="s">
        <v>388</v>
      </c>
      <c r="D933" s="1" t="s">
        <v>389</v>
      </c>
      <c r="E933" s="1" t="s">
        <v>2670</v>
      </c>
      <c r="F933" s="1" t="str">
        <f>"63043    "</f>
        <v xml:space="preserve">63043    </v>
      </c>
      <c r="G933" s="1" t="str">
        <f>"8003592422"</f>
        <v>8003592422</v>
      </c>
      <c r="H933" s="1" t="s">
        <v>2637</v>
      </c>
    </row>
    <row r="934" spans="1:8" x14ac:dyDescent="0.25">
      <c r="A934" s="1" t="s">
        <v>642</v>
      </c>
      <c r="B934" s="1" t="s">
        <v>643</v>
      </c>
      <c r="C934" s="1" t="s">
        <v>644</v>
      </c>
      <c r="D934" s="1" t="s">
        <v>927</v>
      </c>
      <c r="E934" s="1" t="s">
        <v>3164</v>
      </c>
      <c r="F934" s="1" t="str">
        <f>"24108    "</f>
        <v xml:space="preserve">24108    </v>
      </c>
      <c r="G934" s="1" t="str">
        <f>"8002834927"</f>
        <v>8002834927</v>
      </c>
      <c r="H934" s="1" t="s">
        <v>2637</v>
      </c>
    </row>
    <row r="935" spans="1:8" x14ac:dyDescent="0.25">
      <c r="A935" s="1" t="s">
        <v>2327</v>
      </c>
      <c r="B935" s="1" t="s">
        <v>2328</v>
      </c>
      <c r="C935" s="1" t="str">
        <f>"2549 17TH STREET                                  "</f>
        <v xml:space="preserve">2549 17TH STREET                                  </v>
      </c>
      <c r="D935" s="1" t="s">
        <v>2923</v>
      </c>
      <c r="E935" s="1" t="s">
        <v>2706</v>
      </c>
      <c r="F935" s="1" t="str">
        <f>"47202    "</f>
        <v xml:space="preserve">47202    </v>
      </c>
      <c r="G935" s="1" t="str">
        <f>"8003683429"</f>
        <v>8003683429</v>
      </c>
      <c r="H935" s="1" t="s">
        <v>2240</v>
      </c>
    </row>
    <row r="936" spans="1:8" x14ac:dyDescent="0.25">
      <c r="A936" s="1" t="s">
        <v>2835</v>
      </c>
      <c r="B936" s="1" t="s">
        <v>2836</v>
      </c>
      <c r="C936" s="1" t="s">
        <v>2837</v>
      </c>
      <c r="D936" s="1" t="s">
        <v>2838</v>
      </c>
      <c r="E936" s="1" t="s">
        <v>2660</v>
      </c>
      <c r="F936" s="1" t="str">
        <f>"29773    "</f>
        <v xml:space="preserve">29773    </v>
      </c>
      <c r="G936" s="1" t="str">
        <f>"8642991720"</f>
        <v>8642991720</v>
      </c>
      <c r="H936" s="1" t="s">
        <v>2735</v>
      </c>
    </row>
    <row r="937" spans="1:8" x14ac:dyDescent="0.25">
      <c r="A937" s="1" t="s">
        <v>1133</v>
      </c>
      <c r="B937" s="1" t="s">
        <v>1134</v>
      </c>
      <c r="C937" s="1" t="s">
        <v>1135</v>
      </c>
      <c r="D937" s="1" t="s">
        <v>1136</v>
      </c>
      <c r="E937" s="1" t="s">
        <v>2677</v>
      </c>
      <c r="F937" s="1" t="str">
        <f>"272895000"</f>
        <v>272895000</v>
      </c>
      <c r="G937" s="1" t="str">
        <f>"8002223693"</f>
        <v>8002223693</v>
      </c>
      <c r="H937" s="1" t="s">
        <v>2637</v>
      </c>
    </row>
    <row r="938" spans="1:8" x14ac:dyDescent="0.25">
      <c r="A938" s="1" t="s">
        <v>1902</v>
      </c>
      <c r="B938" s="1" t="s">
        <v>1903</v>
      </c>
      <c r="C938" s="1" t="s">
        <v>1904</v>
      </c>
      <c r="D938" s="1" t="s">
        <v>2673</v>
      </c>
      <c r="E938" s="1" t="s">
        <v>2674</v>
      </c>
      <c r="F938" s="1" t="str">
        <f>"84130    "</f>
        <v xml:space="preserve">84130    </v>
      </c>
      <c r="G938" s="1" t="str">
        <f>"8005575745"</f>
        <v>8005575745</v>
      </c>
      <c r="H938" s="1" t="s">
        <v>2637</v>
      </c>
    </row>
    <row r="939" spans="1:8" x14ac:dyDescent="0.25">
      <c r="A939" s="1" t="s">
        <v>2055</v>
      </c>
      <c r="B939" s="1" t="s">
        <v>2056</v>
      </c>
      <c r="C939" s="1" t="s">
        <v>2057</v>
      </c>
      <c r="D939" s="1" t="s">
        <v>2058</v>
      </c>
      <c r="E939" s="1" t="s">
        <v>2677</v>
      </c>
      <c r="F939" s="1" t="str">
        <f>"274386304"</f>
        <v>274386304</v>
      </c>
      <c r="G939" s="1" t="str">
        <f>"8009991147"</f>
        <v>8009991147</v>
      </c>
      <c r="H939" s="1" t="s">
        <v>2637</v>
      </c>
    </row>
    <row r="940" spans="1:8" x14ac:dyDescent="0.25">
      <c r="A940" s="1" t="s">
        <v>2707</v>
      </c>
      <c r="B940" s="1" t="s">
        <v>2708</v>
      </c>
      <c r="C940" s="1" t="s">
        <v>2709</v>
      </c>
      <c r="D940" s="1" t="s">
        <v>2710</v>
      </c>
      <c r="E940" s="1" t="s">
        <v>2660</v>
      </c>
      <c r="F940" s="1" t="str">
        <f>"29603    "</f>
        <v xml:space="preserve">29603    </v>
      </c>
      <c r="G940" s="1" t="str">
        <f>"8662702316"</f>
        <v>8662702316</v>
      </c>
      <c r="H940" s="1" t="s">
        <v>2637</v>
      </c>
    </row>
    <row r="941" spans="1:8" x14ac:dyDescent="0.25">
      <c r="A941" s="1" t="s">
        <v>3279</v>
      </c>
      <c r="B941" s="1" t="s">
        <v>3280</v>
      </c>
      <c r="C941" s="1" t="s">
        <v>3281</v>
      </c>
      <c r="D941" s="1" t="s">
        <v>2794</v>
      </c>
      <c r="E941" s="1" t="s">
        <v>2744</v>
      </c>
      <c r="F941" s="1" t="str">
        <f>"40512    "</f>
        <v xml:space="preserve">40512    </v>
      </c>
      <c r="G941" s="1" t="str">
        <f>"8887729682"</f>
        <v>8887729682</v>
      </c>
      <c r="H941" s="1" t="s">
        <v>2637</v>
      </c>
    </row>
    <row r="942" spans="1:8" x14ac:dyDescent="0.25">
      <c r="A942" s="1" t="s">
        <v>1242</v>
      </c>
      <c r="B942" s="1" t="s">
        <v>1243</v>
      </c>
      <c r="C942" s="1" t="s">
        <v>1244</v>
      </c>
      <c r="D942" s="1" t="s">
        <v>1245</v>
      </c>
      <c r="E942" s="1" t="s">
        <v>2667</v>
      </c>
      <c r="F942" s="1" t="str">
        <f>"54307    "</f>
        <v xml:space="preserve">54307    </v>
      </c>
      <c r="G942" s="1" t="str">
        <f>"8004727130"</f>
        <v>8004727130</v>
      </c>
      <c r="H942" s="1" t="s">
        <v>2637</v>
      </c>
    </row>
    <row r="943" spans="1:8" x14ac:dyDescent="0.25">
      <c r="A943" s="1" t="s">
        <v>3000</v>
      </c>
      <c r="B943" s="1" t="s">
        <v>3001</v>
      </c>
      <c r="C943" s="1" t="str">
        <f>"3120 BRECKINRIDGE BOULEVARD                       "</f>
        <v xml:space="preserve">3120 BRECKINRIDGE BOULEVARD                       </v>
      </c>
      <c r="D943" s="1" t="s">
        <v>2867</v>
      </c>
      <c r="E943" s="1" t="s">
        <v>2681</v>
      </c>
      <c r="F943" s="1" t="str">
        <f>"30199    "</f>
        <v xml:space="preserve">30199    </v>
      </c>
      <c r="G943" s="1" t="str">
        <f>"4043811000"</f>
        <v>4043811000</v>
      </c>
      <c r="H943" s="1" t="s">
        <v>2637</v>
      </c>
    </row>
    <row r="944" spans="1:8" x14ac:dyDescent="0.25">
      <c r="A944" s="1" t="s">
        <v>1112</v>
      </c>
      <c r="B944" s="1" t="s">
        <v>1113</v>
      </c>
      <c r="C944" s="1" t="str">
        <f>"7070-A KAIGHN AVE                                 "</f>
        <v xml:space="preserve">7070-A KAIGHN AVE                                 </v>
      </c>
      <c r="D944" s="1" t="s">
        <v>1114</v>
      </c>
      <c r="E944" s="1" t="s">
        <v>2821</v>
      </c>
      <c r="F944" s="1" t="str">
        <f>"08109    "</f>
        <v xml:space="preserve">08109    </v>
      </c>
      <c r="G944" s="1" t="str">
        <f>"800-966-01"</f>
        <v>800-966-01</v>
      </c>
      <c r="H944" s="1" t="s">
        <v>2688</v>
      </c>
    </row>
    <row r="945" spans="1:8" x14ac:dyDescent="0.25">
      <c r="A945" s="1" t="s">
        <v>223</v>
      </c>
      <c r="B945" s="1" t="s">
        <v>224</v>
      </c>
      <c r="C945" s="1" t="str">
        <f>"7901 SW 36TH ST. STE 100                          "</f>
        <v xml:space="preserve">7901 SW 36TH ST. STE 100                          </v>
      </c>
      <c r="D945" s="1" t="s">
        <v>225</v>
      </c>
      <c r="E945" s="1" t="s">
        <v>2832</v>
      </c>
      <c r="F945" s="1" t="str">
        <f>"33328    "</f>
        <v xml:space="preserve">33328    </v>
      </c>
      <c r="G945" s="1" t="str">
        <f>"9543706404"</f>
        <v>9543706404</v>
      </c>
      <c r="H945" s="1" t="s">
        <v>2760</v>
      </c>
    </row>
    <row r="946" spans="1:8" x14ac:dyDescent="0.25">
      <c r="A946" s="1" t="s">
        <v>1094</v>
      </c>
      <c r="B946" s="1" t="s">
        <v>1095</v>
      </c>
      <c r="C946" s="1" t="str">
        <f>"5445 LASIERRA DR SUITE 400                        "</f>
        <v xml:space="preserve">5445 LASIERRA DR SUITE 400                        </v>
      </c>
      <c r="D946" s="1" t="s">
        <v>2871</v>
      </c>
      <c r="E946" s="1" t="s">
        <v>2636</v>
      </c>
      <c r="F946" s="1" t="str">
        <f>"75231    "</f>
        <v xml:space="preserve">75231    </v>
      </c>
      <c r="G946" s="1" t="str">
        <f>"8009593953"</f>
        <v>8009593953</v>
      </c>
      <c r="H946" s="1" t="s">
        <v>2637</v>
      </c>
    </row>
    <row r="947" spans="1:8" x14ac:dyDescent="0.25">
      <c r="A947" s="1" t="s">
        <v>271</v>
      </c>
      <c r="B947" s="1" t="s">
        <v>272</v>
      </c>
      <c r="C947" s="1" t="s">
        <v>273</v>
      </c>
      <c r="D947" s="1" t="s">
        <v>2126</v>
      </c>
      <c r="E947" s="1" t="s">
        <v>2127</v>
      </c>
      <c r="F947" s="1" t="str">
        <f>"972070209"</f>
        <v>972070209</v>
      </c>
      <c r="G947" s="1" t="str">
        <f>"5033217000"</f>
        <v>5033217000</v>
      </c>
      <c r="H947" s="1" t="s">
        <v>2637</v>
      </c>
    </row>
    <row r="948" spans="1:8" x14ac:dyDescent="0.25">
      <c r="A948" s="1" t="s">
        <v>1362</v>
      </c>
      <c r="B948" s="1" t="s">
        <v>86</v>
      </c>
      <c r="C948" s="1" t="str">
        <f>"3815 MONTROSE BOULEVARD                           "</f>
        <v xml:space="preserve">3815 MONTROSE BOULEVARD                           </v>
      </c>
      <c r="D948" s="1" t="s">
        <v>2635</v>
      </c>
      <c r="E948" s="1" t="s">
        <v>2636</v>
      </c>
      <c r="F948" s="1" t="str">
        <f>"77006    "</f>
        <v xml:space="preserve">77006    </v>
      </c>
      <c r="G948" s="1" t="str">
        <f>"7135266000"</f>
        <v>7135266000</v>
      </c>
      <c r="H948" s="1" t="s">
        <v>2637</v>
      </c>
    </row>
    <row r="949" spans="1:8" x14ac:dyDescent="0.25">
      <c r="A949" s="1" t="s">
        <v>477</v>
      </c>
      <c r="B949" s="1" t="s">
        <v>478</v>
      </c>
      <c r="C949" s="1" t="s">
        <v>479</v>
      </c>
      <c r="D949" s="1" t="s">
        <v>480</v>
      </c>
      <c r="E949" s="1" t="s">
        <v>2127</v>
      </c>
      <c r="F949" s="1" t="str">
        <f>"970150286"</f>
        <v>970150286</v>
      </c>
      <c r="G949" s="1" t="str">
        <f>"8005685628"</f>
        <v>8005685628</v>
      </c>
      <c r="H949" s="1" t="s">
        <v>2240</v>
      </c>
    </row>
    <row r="950" spans="1:8" x14ac:dyDescent="0.25">
      <c r="A950" s="1" t="s">
        <v>392</v>
      </c>
      <c r="B950" s="1" t="s">
        <v>393</v>
      </c>
      <c r="C950" s="1" t="s">
        <v>394</v>
      </c>
      <c r="D950" s="1" t="s">
        <v>395</v>
      </c>
      <c r="E950" s="1" t="s">
        <v>2809</v>
      </c>
      <c r="F950" s="1" t="str">
        <f>"850622909"</f>
        <v>850622909</v>
      </c>
      <c r="G950" s="1" t="str">
        <f>"6022318855"</f>
        <v>6022318855</v>
      </c>
      <c r="H950" s="1" t="s">
        <v>2760</v>
      </c>
    </row>
    <row r="951" spans="1:8" x14ac:dyDescent="0.25">
      <c r="A951" s="1" t="s">
        <v>2886</v>
      </c>
      <c r="B951" s="1" t="s">
        <v>2887</v>
      </c>
      <c r="C951" s="1" t="s">
        <v>2888</v>
      </c>
      <c r="D951" s="1" t="s">
        <v>2791</v>
      </c>
      <c r="E951" s="1" t="s">
        <v>2744</v>
      </c>
      <c r="F951" s="1" t="str">
        <f>"407428300"</f>
        <v>407428300</v>
      </c>
      <c r="G951" s="1" t="str">
        <f>"8663358319"</f>
        <v>8663358319</v>
      </c>
      <c r="H951" s="1" t="s">
        <v>2760</v>
      </c>
    </row>
    <row r="952" spans="1:8" x14ac:dyDescent="0.25">
      <c r="A952" s="1" t="s">
        <v>1109</v>
      </c>
      <c r="B952" s="1" t="s">
        <v>1110</v>
      </c>
      <c r="C952" s="1" t="s">
        <v>2888</v>
      </c>
      <c r="D952" s="1" t="s">
        <v>2791</v>
      </c>
      <c r="E952" s="1" t="s">
        <v>2744</v>
      </c>
      <c r="F952" s="1" t="str">
        <f>"407428300"</f>
        <v>407428300</v>
      </c>
      <c r="G952" s="1" t="str">
        <f>"8663358319"</f>
        <v>8663358319</v>
      </c>
      <c r="H952" s="1" t="s">
        <v>2760</v>
      </c>
    </row>
    <row r="953" spans="1:8" x14ac:dyDescent="0.25">
      <c r="A953" s="1" t="s">
        <v>766</v>
      </c>
      <c r="B953" s="1" t="s">
        <v>767</v>
      </c>
      <c r="C953" s="1" t="s">
        <v>768</v>
      </c>
      <c r="D953" s="1" t="s">
        <v>2397</v>
      </c>
      <c r="E953" s="1" t="s">
        <v>3118</v>
      </c>
      <c r="F953" s="1" t="str">
        <f>"01101    "</f>
        <v xml:space="preserve">01101    </v>
      </c>
      <c r="G953" s="1" t="str">
        <f>"8005174791"</f>
        <v>8005174791</v>
      </c>
      <c r="H953" s="1" t="s">
        <v>2637</v>
      </c>
    </row>
    <row r="954" spans="1:8" x14ac:dyDescent="0.25">
      <c r="A954" s="1" t="s">
        <v>621</v>
      </c>
      <c r="B954" s="1" t="s">
        <v>622</v>
      </c>
      <c r="C954" s="1" t="s">
        <v>2888</v>
      </c>
      <c r="D954" s="1" t="s">
        <v>2791</v>
      </c>
      <c r="E954" s="1" t="s">
        <v>2744</v>
      </c>
      <c r="F954" s="1" t="str">
        <f>"407428300"</f>
        <v>407428300</v>
      </c>
      <c r="G954" s="1" t="str">
        <f>"8663358319"</f>
        <v>8663358319</v>
      </c>
      <c r="H954" s="1" t="s">
        <v>2760</v>
      </c>
    </row>
    <row r="955" spans="1:8" x14ac:dyDescent="0.25">
      <c r="A955" s="1" t="s">
        <v>2021</v>
      </c>
      <c r="B955" s="1" t="s">
        <v>2022</v>
      </c>
      <c r="C955" s="1" t="s">
        <v>2023</v>
      </c>
      <c r="D955" s="1" t="s">
        <v>2024</v>
      </c>
      <c r="E955" s="1" t="s">
        <v>2636</v>
      </c>
      <c r="F955" s="1" t="str">
        <f>"76099    "</f>
        <v xml:space="preserve">76099    </v>
      </c>
      <c r="G955" s="1" t="str">
        <f>"8884441995"</f>
        <v>8884441995</v>
      </c>
      <c r="H955" s="1" t="s">
        <v>2025</v>
      </c>
    </row>
    <row r="956" spans="1:8" x14ac:dyDescent="0.25">
      <c r="A956" s="1" t="s">
        <v>1964</v>
      </c>
      <c r="B956" s="1" t="s">
        <v>1965</v>
      </c>
      <c r="C956" s="1" t="s">
        <v>1966</v>
      </c>
      <c r="D956" s="1" t="s">
        <v>2743</v>
      </c>
      <c r="E956" s="1" t="s">
        <v>2744</v>
      </c>
      <c r="F956" s="1" t="str">
        <f>"40232    "</f>
        <v xml:space="preserve">40232    </v>
      </c>
      <c r="G956" s="1" t="str">
        <f>"8004233289"</f>
        <v>8004233289</v>
      </c>
      <c r="H956" s="1" t="s">
        <v>2760</v>
      </c>
    </row>
    <row r="957" spans="1:8" x14ac:dyDescent="0.25">
      <c r="A957" s="1" t="s">
        <v>235</v>
      </c>
      <c r="B957" s="1" t="s">
        <v>236</v>
      </c>
      <c r="C957" s="1" t="s">
        <v>237</v>
      </c>
      <c r="D957" s="1" t="s">
        <v>3085</v>
      </c>
      <c r="E957" s="1" t="s">
        <v>3086</v>
      </c>
      <c r="F957" s="1" t="str">
        <f>"352530187"</f>
        <v>352530187</v>
      </c>
      <c r="G957" s="1" t="str">
        <f>"8642772371"</f>
        <v>8642772371</v>
      </c>
      <c r="H957" s="1" t="s">
        <v>2240</v>
      </c>
    </row>
    <row r="958" spans="1:8" x14ac:dyDescent="0.25">
      <c r="A958" s="1" t="s">
        <v>2193</v>
      </c>
      <c r="B958" s="1" t="s">
        <v>2194</v>
      </c>
      <c r="C958" s="1" t="str">
        <f>"101 CONVENTION CENTER DR. STE 200                 "</f>
        <v xml:space="preserve">101 CONVENTION CENTER DR. STE 200                 </v>
      </c>
      <c r="D958" s="1" t="s">
        <v>2195</v>
      </c>
      <c r="E958" s="1" t="s">
        <v>2196</v>
      </c>
      <c r="F958" s="1" t="str">
        <f>"89109    "</f>
        <v xml:space="preserve">89109    </v>
      </c>
      <c r="G958" s="1" t="str">
        <f>"8008424742"</f>
        <v>8008424742</v>
      </c>
      <c r="H958" s="1" t="s">
        <v>2688</v>
      </c>
    </row>
    <row r="959" spans="1:8" x14ac:dyDescent="0.25">
      <c r="A959" s="1" t="s">
        <v>1804</v>
      </c>
      <c r="B959" s="1" t="s">
        <v>1805</v>
      </c>
      <c r="C959" s="1" t="s">
        <v>1806</v>
      </c>
      <c r="D959" s="1" t="s">
        <v>1807</v>
      </c>
      <c r="E959" s="1" t="s">
        <v>2773</v>
      </c>
      <c r="F959" s="1" t="str">
        <f>"11747    "</f>
        <v xml:space="preserve">11747    </v>
      </c>
      <c r="G959" s="1" t="str">
        <f>"8008283605"</f>
        <v>8008283605</v>
      </c>
      <c r="H959" s="1" t="s">
        <v>2637</v>
      </c>
    </row>
    <row r="960" spans="1:8" x14ac:dyDescent="0.25">
      <c r="A960" s="1" t="s">
        <v>1157</v>
      </c>
      <c r="B960" s="1" t="s">
        <v>2637</v>
      </c>
      <c r="C960" s="1" t="s">
        <v>2637</v>
      </c>
      <c r="D960" s="1" t="s">
        <v>2637</v>
      </c>
      <c r="E960" s="1" t="s">
        <v>2637</v>
      </c>
      <c r="F960" s="1" t="s">
        <v>2637</v>
      </c>
      <c r="G960" s="1" t="s">
        <v>2637</v>
      </c>
      <c r="H960" s="1" t="s">
        <v>2637</v>
      </c>
    </row>
    <row r="961" spans="1:8" x14ac:dyDescent="0.25">
      <c r="A961" s="1" t="s">
        <v>1899</v>
      </c>
      <c r="B961" s="1" t="s">
        <v>1900</v>
      </c>
      <c r="C961" s="1" t="s">
        <v>1901</v>
      </c>
      <c r="D961" s="1" t="s">
        <v>2154</v>
      </c>
      <c r="E961" s="1" t="s">
        <v>2786</v>
      </c>
      <c r="F961" s="1" t="str">
        <f>"60690    "</f>
        <v xml:space="preserve">60690    </v>
      </c>
      <c r="G961" s="1" t="str">
        <f>"8882641512"</f>
        <v>8882641512</v>
      </c>
      <c r="H961" s="1" t="s">
        <v>2637</v>
      </c>
    </row>
    <row r="962" spans="1:8" x14ac:dyDescent="0.25">
      <c r="A962" s="1" t="s">
        <v>70</v>
      </c>
      <c r="B962" s="1" t="s">
        <v>71</v>
      </c>
      <c r="C962" s="1" t="s">
        <v>72</v>
      </c>
      <c r="D962" s="1" t="s">
        <v>2659</v>
      </c>
      <c r="E962" s="1" t="s">
        <v>2660</v>
      </c>
      <c r="F962" s="1" t="str">
        <f>"29622    "</f>
        <v xml:space="preserve">29622    </v>
      </c>
      <c r="G962" s="1" t="str">
        <f>"8643340090"</f>
        <v>8643340090</v>
      </c>
      <c r="H962" s="1" t="s">
        <v>2648</v>
      </c>
    </row>
    <row r="963" spans="1:8" x14ac:dyDescent="0.25">
      <c r="A963" s="1" t="s">
        <v>1251</v>
      </c>
      <c r="B963" s="1" t="s">
        <v>1252</v>
      </c>
      <c r="C963" s="1" t="s">
        <v>1253</v>
      </c>
      <c r="D963" s="1" t="s">
        <v>803</v>
      </c>
      <c r="E963" s="1" t="s">
        <v>2677</v>
      </c>
      <c r="F963" s="1" t="str">
        <f>"288013459"</f>
        <v>288013459</v>
      </c>
      <c r="G963" s="1" t="str">
        <f>"8282819000"</f>
        <v>8282819000</v>
      </c>
      <c r="H963" s="1" t="s">
        <v>2760</v>
      </c>
    </row>
    <row r="964" spans="1:8" x14ac:dyDescent="0.25">
      <c r="A964" s="1" t="s">
        <v>2217</v>
      </c>
      <c r="B964" s="1" t="s">
        <v>2218</v>
      </c>
      <c r="C964" s="1" t="str">
        <f>"5920 ODELLE ST                                    "</f>
        <v xml:space="preserve">5920 ODELLE ST                                    </v>
      </c>
      <c r="D964" s="1" t="s">
        <v>2219</v>
      </c>
      <c r="E964" s="1" t="s">
        <v>2681</v>
      </c>
      <c r="F964" s="1" t="str">
        <f>"30040    "</f>
        <v xml:space="preserve">30040    </v>
      </c>
      <c r="G964" s="1" t="str">
        <f>"8778231273"</f>
        <v>8778231273</v>
      </c>
      <c r="H964" s="1" t="s">
        <v>2637</v>
      </c>
    </row>
    <row r="965" spans="1:8" x14ac:dyDescent="0.25">
      <c r="A965" s="1" t="s">
        <v>667</v>
      </c>
      <c r="B965" s="1" t="s">
        <v>668</v>
      </c>
      <c r="C965" s="1" t="s">
        <v>2028</v>
      </c>
      <c r="D965" s="1" t="s">
        <v>2029</v>
      </c>
      <c r="E965" s="1" t="s">
        <v>2970</v>
      </c>
      <c r="F965" s="1" t="str">
        <f>"37070    "</f>
        <v xml:space="preserve">37070    </v>
      </c>
      <c r="G965" s="1" t="str">
        <f>"8008310420"</f>
        <v>8008310420</v>
      </c>
      <c r="H965" s="1" t="s">
        <v>2637</v>
      </c>
    </row>
    <row r="966" spans="1:8" x14ac:dyDescent="0.25">
      <c r="A966" s="1" t="s">
        <v>1835</v>
      </c>
      <c r="B966" s="1" t="s">
        <v>1836</v>
      </c>
      <c r="C966" s="1" t="s">
        <v>1837</v>
      </c>
      <c r="D966" s="1" t="s">
        <v>2531</v>
      </c>
      <c r="E966" s="1" t="s">
        <v>2636</v>
      </c>
      <c r="F966" s="1" t="str">
        <f>"794906831"</f>
        <v>794906831</v>
      </c>
      <c r="G966" s="1" t="str">
        <f>"8009676831"</f>
        <v>8009676831</v>
      </c>
      <c r="H966" s="1" t="s">
        <v>2637</v>
      </c>
    </row>
    <row r="967" spans="1:8" x14ac:dyDescent="0.25">
      <c r="A967" s="1" t="s">
        <v>2237</v>
      </c>
      <c r="B967" s="1" t="s">
        <v>2238</v>
      </c>
      <c r="C967" s="1" t="s">
        <v>2239</v>
      </c>
      <c r="D967" s="1" t="s">
        <v>2710</v>
      </c>
      <c r="E967" s="1" t="s">
        <v>2660</v>
      </c>
      <c r="F967" s="1" t="str">
        <f>"29602    "</f>
        <v xml:space="preserve">29602    </v>
      </c>
      <c r="G967" s="1" t="str">
        <f>"8648593211"</f>
        <v>8648593211</v>
      </c>
      <c r="H967" s="1" t="s">
        <v>2240</v>
      </c>
    </row>
    <row r="968" spans="1:8" x14ac:dyDescent="0.25">
      <c r="A968" s="1" t="s">
        <v>243</v>
      </c>
      <c r="B968" s="1" t="s">
        <v>244</v>
      </c>
      <c r="C968" s="1" t="s">
        <v>3023</v>
      </c>
      <c r="D968" s="1" t="s">
        <v>3024</v>
      </c>
      <c r="E968" s="1" t="s">
        <v>2663</v>
      </c>
      <c r="F968" s="1" t="str">
        <f>"902427004"</f>
        <v>902427004</v>
      </c>
      <c r="G968" s="1" t="str">
        <f>"8003310420"</f>
        <v>8003310420</v>
      </c>
      <c r="H968" s="1" t="s">
        <v>2760</v>
      </c>
    </row>
    <row r="969" spans="1:8" x14ac:dyDescent="0.25">
      <c r="A969" s="1" t="s">
        <v>741</v>
      </c>
      <c r="B969" s="1" t="s">
        <v>742</v>
      </c>
      <c r="C969" s="1" t="str">
        <f>"1920 N. FLORIDA MANGO RD                          "</f>
        <v xml:space="preserve">1920 N. FLORIDA MANGO RD                          </v>
      </c>
      <c r="D969" s="1" t="s">
        <v>743</v>
      </c>
      <c r="E969" s="1" t="s">
        <v>2832</v>
      </c>
      <c r="F969" s="1" t="str">
        <f>"33409    "</f>
        <v xml:space="preserve">33409    </v>
      </c>
      <c r="G969" s="1" t="str">
        <f>"8008225899"</f>
        <v>8008225899</v>
      </c>
      <c r="H969" s="1" t="s">
        <v>2637</v>
      </c>
    </row>
    <row r="970" spans="1:8" x14ac:dyDescent="0.25">
      <c r="A970" s="1" t="s">
        <v>1908</v>
      </c>
      <c r="B970" s="1" t="s">
        <v>1909</v>
      </c>
      <c r="C970" s="1" t="s">
        <v>1910</v>
      </c>
      <c r="D970" s="1" t="s">
        <v>2036</v>
      </c>
      <c r="E970" s="1" t="s">
        <v>2677</v>
      </c>
      <c r="F970" s="1" t="str">
        <f>"271571137"</f>
        <v>271571137</v>
      </c>
      <c r="G970" s="1" t="str">
        <f>"8004757900"</f>
        <v>8004757900</v>
      </c>
      <c r="H970" s="1" t="s">
        <v>2637</v>
      </c>
    </row>
    <row r="971" spans="1:8" x14ac:dyDescent="0.25">
      <c r="A971" s="1" t="s">
        <v>2524</v>
      </c>
      <c r="B971" s="1" t="s">
        <v>2525</v>
      </c>
      <c r="C971" s="1" t="str">
        <f>"850 RIDGE AVE                                     "</f>
        <v xml:space="preserve">850 RIDGE AVE                                     </v>
      </c>
      <c r="D971" s="1" t="s">
        <v>3230</v>
      </c>
      <c r="E971" s="1" t="s">
        <v>2697</v>
      </c>
      <c r="F971" s="1" t="str">
        <f>"15212    "</f>
        <v xml:space="preserve">15212    </v>
      </c>
      <c r="G971" s="1" t="str">
        <f>"8002456102"</f>
        <v>8002456102</v>
      </c>
      <c r="H971" s="1" t="s">
        <v>2637</v>
      </c>
    </row>
    <row r="972" spans="1:8" x14ac:dyDescent="0.25">
      <c r="A972" s="1" t="s">
        <v>2440</v>
      </c>
      <c r="B972" s="1" t="s">
        <v>2441</v>
      </c>
      <c r="C972" s="1" t="str">
        <f>"100 COURT AVE. SUITE 306                          "</f>
        <v xml:space="preserve">100 COURT AVE. SUITE 306                          </v>
      </c>
      <c r="D972" s="1" t="s">
        <v>2442</v>
      </c>
      <c r="E972" s="1" t="s">
        <v>3264</v>
      </c>
      <c r="F972" s="1" t="str">
        <f>"50309    "</f>
        <v xml:space="preserve">50309    </v>
      </c>
      <c r="G972" s="1" t="str">
        <f>"8002458813"</f>
        <v>8002458813</v>
      </c>
      <c r="H972" s="1" t="s">
        <v>2637</v>
      </c>
    </row>
    <row r="973" spans="1:8" x14ac:dyDescent="0.25">
      <c r="A973" s="1" t="s">
        <v>3082</v>
      </c>
      <c r="B973" s="1" t="s">
        <v>3083</v>
      </c>
      <c r="C973" s="1" t="s">
        <v>3084</v>
      </c>
      <c r="D973" s="1" t="s">
        <v>3085</v>
      </c>
      <c r="E973" s="1" t="s">
        <v>3086</v>
      </c>
      <c r="F973" s="1" t="str">
        <f>"35238    "</f>
        <v xml:space="preserve">35238    </v>
      </c>
      <c r="G973" s="1" t="str">
        <f>"8008113298"</f>
        <v>8008113298</v>
      </c>
      <c r="H973" s="1" t="s">
        <v>2637</v>
      </c>
    </row>
    <row r="974" spans="1:8" x14ac:dyDescent="0.25">
      <c r="A974" s="1" t="s">
        <v>3087</v>
      </c>
      <c r="B974" s="1" t="s">
        <v>3088</v>
      </c>
      <c r="C974" s="1" t="s">
        <v>3089</v>
      </c>
      <c r="D974" s="1" t="s">
        <v>3090</v>
      </c>
      <c r="E974" s="1" t="s">
        <v>2970</v>
      </c>
      <c r="F974" s="1" t="str">
        <f>"37077    "</f>
        <v xml:space="preserve">37077    </v>
      </c>
      <c r="G974" s="1" t="str">
        <f>"8882295020"</f>
        <v>8882295020</v>
      </c>
      <c r="H974" s="1" t="s">
        <v>3091</v>
      </c>
    </row>
    <row r="975" spans="1:8" x14ac:dyDescent="0.25">
      <c r="A975" s="1" t="s">
        <v>669</v>
      </c>
      <c r="B975" s="1" t="s">
        <v>670</v>
      </c>
      <c r="C975" s="1" t="str">
        <f>"310 S. MARY ST                                    "</f>
        <v xml:space="preserve">310 S. MARY ST                                    </v>
      </c>
      <c r="D975" s="1" t="s">
        <v>2985</v>
      </c>
      <c r="E975" s="1" t="s">
        <v>2636</v>
      </c>
      <c r="F975" s="1" t="str">
        <f>"78205    "</f>
        <v xml:space="preserve">78205    </v>
      </c>
      <c r="G975" s="1" t="str">
        <f>"8006606077"</f>
        <v>8006606077</v>
      </c>
      <c r="H975" s="1" t="s">
        <v>2637</v>
      </c>
    </row>
    <row r="976" spans="1:8" x14ac:dyDescent="0.25">
      <c r="A976" s="1" t="s">
        <v>690</v>
      </c>
      <c r="B976" s="1" t="s">
        <v>691</v>
      </c>
      <c r="C976" s="1" t="s">
        <v>993</v>
      </c>
      <c r="D976" s="1" t="s">
        <v>692</v>
      </c>
      <c r="E976" s="1" t="s">
        <v>3264</v>
      </c>
      <c r="F976" s="1" t="str">
        <f>"52004    "</f>
        <v xml:space="preserve">52004    </v>
      </c>
      <c r="G976" s="1" t="str">
        <f>"8004574725"</f>
        <v>8004574725</v>
      </c>
      <c r="H976" s="1" t="s">
        <v>2637</v>
      </c>
    </row>
    <row r="977" spans="1:8" x14ac:dyDescent="0.25">
      <c r="A977" s="1" t="s">
        <v>305</v>
      </c>
      <c r="B977" s="1" t="s">
        <v>306</v>
      </c>
      <c r="C977" s="1" t="s">
        <v>307</v>
      </c>
      <c r="D977" s="1" t="s">
        <v>1952</v>
      </c>
      <c r="E977" s="1" t="s">
        <v>2697</v>
      </c>
      <c r="F977" s="1" t="str">
        <f>"19044    "</f>
        <v xml:space="preserve">19044    </v>
      </c>
      <c r="G977" s="1" t="str">
        <f>"8883502002"</f>
        <v>8883502002</v>
      </c>
      <c r="H977" s="1" t="s">
        <v>308</v>
      </c>
    </row>
    <row r="978" spans="1:8" x14ac:dyDescent="0.25">
      <c r="A978" s="1" t="s">
        <v>411</v>
      </c>
      <c r="B978" s="1" t="s">
        <v>412</v>
      </c>
      <c r="C978" s="1" t="str">
        <f>"4001 N. JOSEY LANE                                "</f>
        <v xml:space="preserve">4001 N. JOSEY LANE                                </v>
      </c>
      <c r="D978" s="1" t="s">
        <v>413</v>
      </c>
      <c r="E978" s="1" t="s">
        <v>2636</v>
      </c>
      <c r="F978" s="1" t="str">
        <f>"75007    "</f>
        <v xml:space="preserve">75007    </v>
      </c>
      <c r="G978" s="1" t="str">
        <f>"9724926474"</f>
        <v>9724926474</v>
      </c>
      <c r="H978" s="1" t="s">
        <v>2637</v>
      </c>
    </row>
    <row r="979" spans="1:8" x14ac:dyDescent="0.25">
      <c r="A979" s="1" t="s">
        <v>557</v>
      </c>
      <c r="B979" s="1" t="s">
        <v>558</v>
      </c>
      <c r="C979" s="1" t="str">
        <f>"10901 WEST 120TH AVE. STE 110                     "</f>
        <v xml:space="preserve">10901 WEST 120TH AVE. STE 110                     </v>
      </c>
      <c r="D979" s="1" t="s">
        <v>559</v>
      </c>
      <c r="E979" s="1" t="s">
        <v>2826</v>
      </c>
      <c r="F979" s="1" t="str">
        <f>"80021    "</f>
        <v xml:space="preserve">80021    </v>
      </c>
      <c r="G979" s="1" t="str">
        <f>"8007522211"</f>
        <v>8007522211</v>
      </c>
      <c r="H979" s="1" t="s">
        <v>2637</v>
      </c>
    </row>
    <row r="980" spans="1:8" x14ac:dyDescent="0.25">
      <c r="A980" s="1" t="s">
        <v>63</v>
      </c>
      <c r="B980" s="1" t="s">
        <v>64</v>
      </c>
      <c r="C980" s="1" t="s">
        <v>65</v>
      </c>
      <c r="D980" s="1" t="s">
        <v>2531</v>
      </c>
      <c r="E980" s="1" t="s">
        <v>2636</v>
      </c>
      <c r="F980" s="1" t="str">
        <f>"79402    "</f>
        <v xml:space="preserve">79402    </v>
      </c>
      <c r="G980" s="1" t="str">
        <f>"3372341789"</f>
        <v>3372341789</v>
      </c>
      <c r="H980" s="1" t="s">
        <v>2637</v>
      </c>
    </row>
    <row r="981" spans="1:8" x14ac:dyDescent="0.25">
      <c r="A981" s="1" t="s">
        <v>2423</v>
      </c>
      <c r="B981" s="1" t="s">
        <v>2424</v>
      </c>
      <c r="C981" s="1" t="s">
        <v>2425</v>
      </c>
      <c r="D981" s="1" t="s">
        <v>2717</v>
      </c>
      <c r="E981" s="1" t="s">
        <v>2681</v>
      </c>
      <c r="F981" s="1" t="str">
        <f>"303740801"</f>
        <v>303740801</v>
      </c>
      <c r="G981" s="1" t="str">
        <f>"8008488406"</f>
        <v>8008488406</v>
      </c>
      <c r="H981" s="1" t="s">
        <v>2760</v>
      </c>
    </row>
    <row r="982" spans="1:8" x14ac:dyDescent="0.25">
      <c r="A982" s="1" t="s">
        <v>1435</v>
      </c>
      <c r="B982" s="1" t="s">
        <v>1436</v>
      </c>
      <c r="C982" s="1" t="s">
        <v>1437</v>
      </c>
      <c r="D982" s="1" t="s">
        <v>2867</v>
      </c>
      <c r="E982" s="1" t="s">
        <v>2681</v>
      </c>
      <c r="F982" s="1" t="str">
        <f>"300969343"</f>
        <v>300969343</v>
      </c>
      <c r="G982" s="1" t="str">
        <f>"7706238383"</f>
        <v>7706238383</v>
      </c>
      <c r="H982" s="1" t="s">
        <v>2637</v>
      </c>
    </row>
    <row r="983" spans="1:8" x14ac:dyDescent="0.25">
      <c r="A983" s="1" t="s">
        <v>1140</v>
      </c>
      <c r="B983" s="1" t="s">
        <v>1141</v>
      </c>
      <c r="C983" s="1" t="s">
        <v>1142</v>
      </c>
      <c r="D983" s="1" t="s">
        <v>2705</v>
      </c>
      <c r="E983" s="1" t="s">
        <v>2706</v>
      </c>
      <c r="F983" s="1" t="str">
        <f>"46206    "</f>
        <v xml:space="preserve">46206    </v>
      </c>
      <c r="G983" s="1" t="str">
        <f>"8664007102"</f>
        <v>8664007102</v>
      </c>
      <c r="H983" s="1" t="s">
        <v>2637</v>
      </c>
    </row>
    <row r="984" spans="1:8" x14ac:dyDescent="0.25">
      <c r="A984" s="1" t="s">
        <v>230</v>
      </c>
      <c r="B984" s="1" t="s">
        <v>231</v>
      </c>
      <c r="C984" s="1" t="s">
        <v>232</v>
      </c>
      <c r="D984" s="1" t="s">
        <v>2943</v>
      </c>
      <c r="E984" s="1" t="s">
        <v>2944</v>
      </c>
      <c r="F984" s="1" t="str">
        <f>"722219914"</f>
        <v>722219914</v>
      </c>
      <c r="G984" s="1" t="str">
        <f>"8002357111"</f>
        <v>8002357111</v>
      </c>
      <c r="H984" s="1" t="s">
        <v>2637</v>
      </c>
    </row>
    <row r="985" spans="1:8" x14ac:dyDescent="0.25">
      <c r="A985" s="1" t="s">
        <v>3206</v>
      </c>
      <c r="B985" s="1" t="s">
        <v>3207</v>
      </c>
      <c r="C985" s="1" t="s">
        <v>3208</v>
      </c>
      <c r="D985" s="1" t="s">
        <v>3209</v>
      </c>
      <c r="E985" s="1" t="s">
        <v>2832</v>
      </c>
      <c r="F985" s="1" t="str">
        <f>"333269000"</f>
        <v>333269000</v>
      </c>
      <c r="G985" s="1" t="str">
        <f>"8002629175"</f>
        <v>8002629175</v>
      </c>
      <c r="H985" s="1" t="s">
        <v>2760</v>
      </c>
    </row>
    <row r="986" spans="1:8" x14ac:dyDescent="0.25">
      <c r="A986" s="1" t="s">
        <v>2354</v>
      </c>
      <c r="B986" s="1" t="s">
        <v>2355</v>
      </c>
      <c r="C986" s="1" t="s">
        <v>2356</v>
      </c>
      <c r="D986" s="1" t="s">
        <v>2357</v>
      </c>
      <c r="E986" s="1" t="s">
        <v>2663</v>
      </c>
      <c r="F986" s="1" t="str">
        <f>"91723    "</f>
        <v xml:space="preserve">91723    </v>
      </c>
      <c r="G986" s="1" t="str">
        <f>"8005738597"</f>
        <v>8005738597</v>
      </c>
      <c r="H986" s="1" t="s">
        <v>2637</v>
      </c>
    </row>
    <row r="987" spans="1:8" x14ac:dyDescent="0.25">
      <c r="A987" s="1" t="s">
        <v>930</v>
      </c>
      <c r="B987" s="1" t="s">
        <v>931</v>
      </c>
      <c r="C987" s="1" t="s">
        <v>932</v>
      </c>
      <c r="D987" s="1" t="s">
        <v>2074</v>
      </c>
      <c r="E987" s="1" t="s">
        <v>2636</v>
      </c>
      <c r="F987" s="1" t="str">
        <f>"750269003"</f>
        <v>750269003</v>
      </c>
      <c r="G987" s="1" t="str">
        <f>"8888588551"</f>
        <v>8888588551</v>
      </c>
      <c r="H987" s="1" t="s">
        <v>2637</v>
      </c>
    </row>
    <row r="988" spans="1:8" x14ac:dyDescent="0.25">
      <c r="A988" s="1" t="s">
        <v>1764</v>
      </c>
      <c r="B988" s="1" t="s">
        <v>1765</v>
      </c>
      <c r="C988" s="1" t="s">
        <v>1766</v>
      </c>
      <c r="D988" s="1" t="s">
        <v>2074</v>
      </c>
      <c r="E988" s="1" t="s">
        <v>2636</v>
      </c>
      <c r="F988" s="1" t="str">
        <f>"750250349"</f>
        <v>750250349</v>
      </c>
      <c r="G988" s="1" t="str">
        <f>"8007676811"</f>
        <v>8007676811</v>
      </c>
      <c r="H988" s="1" t="s">
        <v>2688</v>
      </c>
    </row>
    <row r="989" spans="1:8" x14ac:dyDescent="0.25">
      <c r="A989" s="1" t="s">
        <v>1995</v>
      </c>
      <c r="B989" s="1" t="s">
        <v>1996</v>
      </c>
      <c r="C989" s="1" t="str">
        <f>"9501 WEST DEVON                                   "</f>
        <v xml:space="preserve">9501 WEST DEVON                                   </v>
      </c>
      <c r="D989" s="1" t="s">
        <v>1997</v>
      </c>
      <c r="E989" s="1" t="s">
        <v>2786</v>
      </c>
      <c r="F989" s="1" t="str">
        <f>"60018    "</f>
        <v xml:space="preserve">60018    </v>
      </c>
      <c r="G989" s="1" t="str">
        <f>"3126963660"</f>
        <v>3126963660</v>
      </c>
      <c r="H989" s="1" t="s">
        <v>2637</v>
      </c>
    </row>
    <row r="990" spans="1:8" x14ac:dyDescent="0.25">
      <c r="A990" s="1" t="s">
        <v>1213</v>
      </c>
      <c r="B990" s="1" t="s">
        <v>1214</v>
      </c>
      <c r="C990" s="1" t="str">
        <f>"115 WEST 7TH ST. SUITE 1200                       "</f>
        <v xml:space="preserve">115 WEST 7TH ST. SUITE 1200                       </v>
      </c>
      <c r="D990" s="1" t="s">
        <v>2465</v>
      </c>
      <c r="E990" s="1" t="s">
        <v>2636</v>
      </c>
      <c r="F990" s="1" t="str">
        <f>"761027012"</f>
        <v>761027012</v>
      </c>
      <c r="G990" s="1" t="str">
        <f>"8007828375"</f>
        <v>8007828375</v>
      </c>
      <c r="H990" s="1" t="s">
        <v>2637</v>
      </c>
    </row>
    <row r="991" spans="1:8" x14ac:dyDescent="0.25">
      <c r="A991" s="1" t="s">
        <v>3092</v>
      </c>
      <c r="B991" s="1" t="s">
        <v>3093</v>
      </c>
      <c r="C991" s="1" t="s">
        <v>3094</v>
      </c>
      <c r="D991" s="1" t="s">
        <v>3095</v>
      </c>
      <c r="E991" s="1" t="s">
        <v>2749</v>
      </c>
      <c r="F991" s="1" t="str">
        <f>"66201915 "</f>
        <v xml:space="preserve">66201915 </v>
      </c>
      <c r="G991" s="1" t="str">
        <f>"8007535133"</f>
        <v>8007535133</v>
      </c>
      <c r="H991" s="1" t="s">
        <v>2637</v>
      </c>
    </row>
    <row r="992" spans="1:8" x14ac:dyDescent="0.25">
      <c r="A992" s="1" t="s">
        <v>1186</v>
      </c>
      <c r="B992" s="1" t="s">
        <v>1187</v>
      </c>
      <c r="C992" s="1" t="s">
        <v>1188</v>
      </c>
      <c r="D992" s="1" t="s">
        <v>2465</v>
      </c>
      <c r="E992" s="1" t="s">
        <v>2636</v>
      </c>
      <c r="F992" s="1" t="str">
        <f>"761132522"</f>
        <v>761132522</v>
      </c>
      <c r="G992" s="1" t="str">
        <f>"8004331672"</f>
        <v>8004331672</v>
      </c>
      <c r="H992" s="1" t="s">
        <v>2760</v>
      </c>
    </row>
    <row r="993" spans="1:8" x14ac:dyDescent="0.25">
      <c r="A993" s="1" t="s">
        <v>3096</v>
      </c>
      <c r="B993" s="1" t="s">
        <v>3097</v>
      </c>
      <c r="C993" s="1" t="s">
        <v>3098</v>
      </c>
      <c r="D993" s="1" t="s">
        <v>2854</v>
      </c>
      <c r="E993" s="1" t="s">
        <v>2636</v>
      </c>
      <c r="F993" s="1" t="str">
        <f>"79998    "</f>
        <v xml:space="preserve">79998    </v>
      </c>
      <c r="G993" s="1" t="str">
        <f>"8774925870"</f>
        <v>8774925870</v>
      </c>
      <c r="H993" s="1" t="s">
        <v>2637</v>
      </c>
    </row>
    <row r="994" spans="1:8" x14ac:dyDescent="0.25">
      <c r="A994" s="1" t="s">
        <v>1204</v>
      </c>
      <c r="B994" s="1" t="s">
        <v>1205</v>
      </c>
      <c r="C994" s="1" t="s">
        <v>2900</v>
      </c>
      <c r="D994" s="1" t="s">
        <v>1206</v>
      </c>
      <c r="E994" s="1" t="s">
        <v>2714</v>
      </c>
      <c r="F994" s="1" t="str">
        <f>"45401    "</f>
        <v xml:space="preserve">45401    </v>
      </c>
      <c r="G994" s="1" t="str">
        <f>"8007363539"</f>
        <v>8007363539</v>
      </c>
      <c r="H994" s="1" t="s">
        <v>2760</v>
      </c>
    </row>
    <row r="995" spans="1:8" x14ac:dyDescent="0.25">
      <c r="A995" s="1" t="s">
        <v>2011</v>
      </c>
      <c r="B995" s="1" t="s">
        <v>2012</v>
      </c>
      <c r="C995" s="1" t="str">
        <f>"742 PEACHOID ROAD                                 "</f>
        <v xml:space="preserve">742 PEACHOID ROAD                                 </v>
      </c>
      <c r="D995" s="1" t="s">
        <v>2013</v>
      </c>
      <c r="E995" s="1" t="s">
        <v>2660</v>
      </c>
      <c r="F995" s="1" t="str">
        <f>"29340    "</f>
        <v xml:space="preserve">29340    </v>
      </c>
      <c r="G995" s="1" t="str">
        <f>"8644877505"</f>
        <v>8644877505</v>
      </c>
      <c r="H995" s="1" t="s">
        <v>2637</v>
      </c>
    </row>
    <row r="996" spans="1:8" x14ac:dyDescent="0.25">
      <c r="A996" s="1" t="s">
        <v>172</v>
      </c>
      <c r="B996" s="1" t="s">
        <v>173</v>
      </c>
      <c r="C996" s="1" t="str">
        <f>"2180 NORTH LOOP WEST, STE. 400                    "</f>
        <v xml:space="preserve">2180 NORTH LOOP WEST, STE. 400                    </v>
      </c>
      <c r="D996" s="1" t="s">
        <v>2635</v>
      </c>
      <c r="E996" s="1" t="s">
        <v>2636</v>
      </c>
      <c r="F996" s="1" t="str">
        <f>"77018    "</f>
        <v xml:space="preserve">77018    </v>
      </c>
      <c r="G996" s="1" t="str">
        <f>"8004476588"</f>
        <v>8004476588</v>
      </c>
      <c r="H996" s="1" t="s">
        <v>2637</v>
      </c>
    </row>
    <row r="997" spans="1:8" x14ac:dyDescent="0.25">
      <c r="A997" s="1" t="s">
        <v>607</v>
      </c>
      <c r="B997" s="1" t="s">
        <v>608</v>
      </c>
      <c r="C997" s="1" t="s">
        <v>609</v>
      </c>
      <c r="D997" s="1" t="s">
        <v>610</v>
      </c>
      <c r="E997" s="1" t="s">
        <v>2902</v>
      </c>
      <c r="F997" s="1" t="str">
        <f>"55343    "</f>
        <v xml:space="preserve">55343    </v>
      </c>
      <c r="G997" s="1" t="str">
        <f>"8007654224"</f>
        <v>8007654224</v>
      </c>
      <c r="H997" s="1" t="s">
        <v>2637</v>
      </c>
    </row>
    <row r="998" spans="1:8" x14ac:dyDescent="0.25">
      <c r="A998" s="1" t="s">
        <v>431</v>
      </c>
      <c r="B998" s="1" t="s">
        <v>432</v>
      </c>
      <c r="C998" s="1" t="s">
        <v>433</v>
      </c>
      <c r="D998" s="1" t="s">
        <v>2061</v>
      </c>
      <c r="E998" s="1" t="s">
        <v>2636</v>
      </c>
      <c r="F998" s="1" t="str">
        <f>"750853925"</f>
        <v>750853925</v>
      </c>
      <c r="G998" s="1" t="str">
        <f>"8002010450"</f>
        <v>8002010450</v>
      </c>
      <c r="H998" s="1" t="s">
        <v>2637</v>
      </c>
    </row>
    <row r="999" spans="1:8" x14ac:dyDescent="0.25">
      <c r="A999" s="1" t="s">
        <v>900</v>
      </c>
      <c r="B999" s="1" t="s">
        <v>901</v>
      </c>
      <c r="C999" s="1" t="s">
        <v>902</v>
      </c>
      <c r="D999" s="1" t="s">
        <v>2901</v>
      </c>
      <c r="E999" s="1" t="s">
        <v>2902</v>
      </c>
      <c r="F999" s="1" t="str">
        <f>"554401289"</f>
        <v>554401289</v>
      </c>
      <c r="G999" s="1" t="str">
        <f>"8889222313"</f>
        <v>8889222313</v>
      </c>
      <c r="H999" s="1" t="s">
        <v>2637</v>
      </c>
    </row>
    <row r="1000" spans="1:8" x14ac:dyDescent="0.25">
      <c r="A1000" s="1" t="s">
        <v>454</v>
      </c>
      <c r="B1000" s="1" t="s">
        <v>455</v>
      </c>
      <c r="C1000" s="1" t="s">
        <v>456</v>
      </c>
      <c r="D1000" s="1" t="s">
        <v>2901</v>
      </c>
      <c r="E1000" s="1" t="s">
        <v>2902</v>
      </c>
      <c r="F1000" s="1" t="str">
        <f>"55440    "</f>
        <v xml:space="preserve">55440    </v>
      </c>
      <c r="G1000" s="1" t="str">
        <f>"8889222313"</f>
        <v>8889222313</v>
      </c>
      <c r="H1000" s="1" t="s">
        <v>2637</v>
      </c>
    </row>
    <row r="1001" spans="1:8" x14ac:dyDescent="0.25">
      <c r="A1001" s="1" t="s">
        <v>2345</v>
      </c>
      <c r="B1001" s="1" t="s">
        <v>2346</v>
      </c>
      <c r="C1001" s="1" t="s">
        <v>2347</v>
      </c>
      <c r="D1001" s="1" t="s">
        <v>2348</v>
      </c>
      <c r="E1001" s="1" t="s">
        <v>3086</v>
      </c>
      <c r="F1001" s="1" t="str">
        <f>"35902    "</f>
        <v xml:space="preserve">35902    </v>
      </c>
      <c r="G1001" s="1" t="str">
        <f>"8002262371"</f>
        <v>8002262371</v>
      </c>
      <c r="H1001" s="1" t="s">
        <v>2637</v>
      </c>
    </row>
    <row r="1002" spans="1:8" x14ac:dyDescent="0.25">
      <c r="A1002" s="1" t="s">
        <v>1102</v>
      </c>
      <c r="B1002" s="1" t="s">
        <v>1103</v>
      </c>
      <c r="C1002" s="1" t="s">
        <v>1104</v>
      </c>
      <c r="D1002" s="1" t="s">
        <v>2871</v>
      </c>
      <c r="E1002" s="1" t="s">
        <v>2636</v>
      </c>
      <c r="F1002" s="1" t="str">
        <f>"753809025"</f>
        <v>753809025</v>
      </c>
      <c r="G1002" s="1" t="str">
        <f>"8887563534"</f>
        <v>8887563534</v>
      </c>
      <c r="H1002" s="1" t="s">
        <v>2637</v>
      </c>
    </row>
    <row r="1003" spans="1:8" x14ac:dyDescent="0.25">
      <c r="A1003" s="1" t="s">
        <v>1376</v>
      </c>
      <c r="B1003" s="1" t="s">
        <v>1377</v>
      </c>
      <c r="C1003" s="1" t="s">
        <v>1378</v>
      </c>
      <c r="D1003" s="1" t="s">
        <v>2969</v>
      </c>
      <c r="E1003" s="1" t="s">
        <v>2970</v>
      </c>
      <c r="F1003" s="1" t="str">
        <f>"37933    "</f>
        <v xml:space="preserve">37933    </v>
      </c>
      <c r="G1003" s="1" t="str">
        <f>"8002840042"</f>
        <v>8002840042</v>
      </c>
      <c r="H1003" s="1" t="s">
        <v>2735</v>
      </c>
    </row>
    <row r="1004" spans="1:8" x14ac:dyDescent="0.25">
      <c r="A1004" s="1" t="s">
        <v>297</v>
      </c>
      <c r="B1004" s="1" t="s">
        <v>298</v>
      </c>
      <c r="C1004" s="1" t="str">
        <f>"720 COOL SPRINGS BLVD                             "</f>
        <v xml:space="preserve">720 COOL SPRINGS BLVD                             </v>
      </c>
      <c r="D1004" s="1" t="s">
        <v>299</v>
      </c>
      <c r="E1004" s="1" t="s">
        <v>2970</v>
      </c>
      <c r="F1004" s="1" t="str">
        <f>"37067    "</f>
        <v xml:space="preserve">37067    </v>
      </c>
      <c r="G1004" s="1" t="str">
        <f>"6157784000"</f>
        <v>6157784000</v>
      </c>
      <c r="H1004" s="1" t="s">
        <v>2760</v>
      </c>
    </row>
    <row r="1005" spans="1:8" x14ac:dyDescent="0.25">
      <c r="A1005" s="1" t="s">
        <v>1890</v>
      </c>
      <c r="B1005" s="1" t="s">
        <v>1891</v>
      </c>
      <c r="C1005" s="1" t="str">
        <f>"1100 CIRCLE 75 PARKWAY, STE 1400                  "</f>
        <v xml:space="preserve">1100 CIRCLE 75 PARKWAY, STE 1400                  </v>
      </c>
      <c r="D1005" s="1" t="s">
        <v>2717</v>
      </c>
      <c r="E1005" s="1" t="s">
        <v>2681</v>
      </c>
      <c r="F1005" s="1" t="str">
        <f>"30339    "</f>
        <v xml:space="preserve">30339    </v>
      </c>
      <c r="G1005" s="1" t="str">
        <f>"8004702004"</f>
        <v>8004702004</v>
      </c>
      <c r="H1005" s="1" t="s">
        <v>2637</v>
      </c>
    </row>
    <row r="1006" spans="1:8" x14ac:dyDescent="0.25">
      <c r="A1006" s="1" t="s">
        <v>1175</v>
      </c>
      <c r="B1006" s="1" t="s">
        <v>1176</v>
      </c>
      <c r="C1006" s="1" t="s">
        <v>1177</v>
      </c>
      <c r="D1006" s="1" t="s">
        <v>1178</v>
      </c>
      <c r="E1006" s="1" t="s">
        <v>2773</v>
      </c>
      <c r="F1006" s="1" t="str">
        <f>"11530    "</f>
        <v xml:space="preserve">11530    </v>
      </c>
      <c r="G1006" s="1" t="str">
        <f>"8666246259"</f>
        <v>8666246259</v>
      </c>
      <c r="H1006" s="1" t="s">
        <v>2637</v>
      </c>
    </row>
    <row r="1007" spans="1:8" x14ac:dyDescent="0.25">
      <c r="A1007" s="1" t="s">
        <v>1259</v>
      </c>
      <c r="B1007" s="1" t="s">
        <v>1260</v>
      </c>
      <c r="C1007" s="1" t="s">
        <v>1261</v>
      </c>
      <c r="D1007" s="1" t="s">
        <v>3160</v>
      </c>
      <c r="E1007" s="1" t="s">
        <v>3161</v>
      </c>
      <c r="F1007" s="1" t="str">
        <f>"93236    "</f>
        <v xml:space="preserve">93236    </v>
      </c>
      <c r="G1007" s="1" t="str">
        <f>"8888882519"</f>
        <v>8888882519</v>
      </c>
      <c r="H1007" s="1" t="s">
        <v>2637</v>
      </c>
    </row>
    <row r="1008" spans="1:8" x14ac:dyDescent="0.25">
      <c r="A1008" s="1" t="s">
        <v>462</v>
      </c>
      <c r="B1008" s="1" t="s">
        <v>463</v>
      </c>
      <c r="C1008" s="1" t="s">
        <v>464</v>
      </c>
      <c r="D1008" s="1" t="s">
        <v>357</v>
      </c>
      <c r="E1008" s="1" t="s">
        <v>2786</v>
      </c>
      <c r="F1008" s="1" t="str">
        <f>"62223    "</f>
        <v xml:space="preserve">62223    </v>
      </c>
      <c r="G1008" s="1" t="str">
        <f>"8003484512"</f>
        <v>8003484512</v>
      </c>
      <c r="H1008" s="1" t="s">
        <v>2637</v>
      </c>
    </row>
    <row r="1009" spans="1:8" x14ac:dyDescent="0.25">
      <c r="A1009" s="1" t="s">
        <v>3040</v>
      </c>
      <c r="B1009" s="1" t="s">
        <v>3041</v>
      </c>
      <c r="C1009" s="1" t="s">
        <v>3042</v>
      </c>
      <c r="D1009" s="1" t="s">
        <v>2717</v>
      </c>
      <c r="E1009" s="1" t="s">
        <v>2681</v>
      </c>
      <c r="F1009" s="1" t="str">
        <f>"30303    "</f>
        <v xml:space="preserve">30303    </v>
      </c>
      <c r="G1009" s="1" t="str">
        <f>"4046592100"</f>
        <v>4046592100</v>
      </c>
      <c r="H1009" s="1" t="s">
        <v>2735</v>
      </c>
    </row>
    <row r="1010" spans="1:8" x14ac:dyDescent="0.25">
      <c r="A1010" s="1" t="s">
        <v>2898</v>
      </c>
      <c r="B1010" s="1" t="s">
        <v>2899</v>
      </c>
      <c r="C1010" s="1" t="s">
        <v>2900</v>
      </c>
      <c r="D1010" s="1" t="s">
        <v>2901</v>
      </c>
      <c r="E1010" s="1" t="s">
        <v>2902</v>
      </c>
      <c r="F1010" s="1" t="str">
        <f>"554400535"</f>
        <v>554400535</v>
      </c>
      <c r="G1010" s="1" t="str">
        <f>"8884465710"</f>
        <v>8884465710</v>
      </c>
      <c r="H1010" s="1" t="s">
        <v>2760</v>
      </c>
    </row>
    <row r="1011" spans="1:8" x14ac:dyDescent="0.25">
      <c r="A1011" s="1" t="s">
        <v>174</v>
      </c>
      <c r="B1011" s="1" t="s">
        <v>175</v>
      </c>
      <c r="C1011" s="1" t="s">
        <v>176</v>
      </c>
      <c r="D1011" s="1" t="s">
        <v>2042</v>
      </c>
      <c r="E1011" s="1" t="s">
        <v>3118</v>
      </c>
      <c r="F1011" s="1" t="str">
        <f>"02116    "</f>
        <v xml:space="preserve">02116    </v>
      </c>
      <c r="G1011" s="1" t="str">
        <f>"8003777311"</f>
        <v>8003777311</v>
      </c>
      <c r="H1011" s="1" t="s">
        <v>2637</v>
      </c>
    </row>
    <row r="1012" spans="1:8" x14ac:dyDescent="0.25">
      <c r="A1012" s="1" t="s">
        <v>1191</v>
      </c>
      <c r="B1012" s="1" t="s">
        <v>1192</v>
      </c>
      <c r="C1012" s="1" t="s">
        <v>1193</v>
      </c>
      <c r="D1012" s="1" t="s">
        <v>2024</v>
      </c>
      <c r="E1012" s="1" t="s">
        <v>2636</v>
      </c>
      <c r="F1012" s="1" t="str">
        <f>"760999706"</f>
        <v>760999706</v>
      </c>
      <c r="G1012" s="1" t="str">
        <f>"8007582851"</f>
        <v>8007582851</v>
      </c>
      <c r="H1012" s="1" t="s">
        <v>2637</v>
      </c>
    </row>
    <row r="1013" spans="1:8" x14ac:dyDescent="0.25">
      <c r="A1013" s="1" t="s">
        <v>1738</v>
      </c>
      <c r="B1013" s="1" t="s">
        <v>1739</v>
      </c>
      <c r="C1013" s="1" t="s">
        <v>1740</v>
      </c>
      <c r="D1013" s="1" t="s">
        <v>2036</v>
      </c>
      <c r="E1013" s="1" t="s">
        <v>2677</v>
      </c>
      <c r="F1013" s="1" t="str">
        <f>"271022000"</f>
        <v>271022000</v>
      </c>
      <c r="G1013" s="1" t="str">
        <f>"3367592013"</f>
        <v>3367592013</v>
      </c>
      <c r="H1013" s="1" t="s">
        <v>2637</v>
      </c>
    </row>
    <row r="1014" spans="1:8" x14ac:dyDescent="0.25">
      <c r="A1014" s="1" t="s">
        <v>674</v>
      </c>
      <c r="B1014" s="1" t="s">
        <v>1739</v>
      </c>
      <c r="C1014" s="1" t="s">
        <v>1740</v>
      </c>
      <c r="D1014" s="1" t="s">
        <v>2036</v>
      </c>
      <c r="E1014" s="1" t="s">
        <v>2677</v>
      </c>
      <c r="F1014" s="1" t="str">
        <f>"271022000"</f>
        <v>271022000</v>
      </c>
      <c r="G1014" s="1" t="str">
        <f>"3367592013"</f>
        <v>3367592013</v>
      </c>
      <c r="H1014" s="1" t="s">
        <v>2637</v>
      </c>
    </row>
    <row r="1015" spans="1:8" x14ac:dyDescent="0.25">
      <c r="A1015" s="1" t="s">
        <v>1635</v>
      </c>
      <c r="B1015" s="1" t="s">
        <v>1636</v>
      </c>
      <c r="C1015" s="1" t="s">
        <v>1637</v>
      </c>
      <c r="D1015" s="1" t="s">
        <v>1638</v>
      </c>
      <c r="E1015" s="1" t="s">
        <v>2832</v>
      </c>
      <c r="F1015" s="1" t="str">
        <f>"32756    "</f>
        <v xml:space="preserve">32756    </v>
      </c>
      <c r="G1015" s="1" t="str">
        <f>"8007439264"</f>
        <v>8007439264</v>
      </c>
      <c r="H1015" s="1" t="s">
        <v>2637</v>
      </c>
    </row>
    <row r="1016" spans="1:8" x14ac:dyDescent="0.25">
      <c r="A1016" s="1" t="s">
        <v>521</v>
      </c>
      <c r="B1016" s="1" t="s">
        <v>522</v>
      </c>
      <c r="C1016" s="1" t="s">
        <v>523</v>
      </c>
      <c r="D1016" s="1" t="s">
        <v>524</v>
      </c>
      <c r="E1016" s="1" t="s">
        <v>2809</v>
      </c>
      <c r="F1016" s="1" t="str">
        <f>"85260    "</f>
        <v xml:space="preserve">85260    </v>
      </c>
      <c r="G1016" s="1" t="str">
        <f>"8006594112"</f>
        <v>8006594112</v>
      </c>
      <c r="H1016" s="1" t="s">
        <v>2637</v>
      </c>
    </row>
    <row r="1017" spans="1:8" x14ac:dyDescent="0.25">
      <c r="A1017" s="1" t="s">
        <v>2128</v>
      </c>
      <c r="B1017" s="1" t="s">
        <v>2129</v>
      </c>
      <c r="C1017" s="1" t="s">
        <v>2130</v>
      </c>
      <c r="D1017" s="1" t="s">
        <v>2131</v>
      </c>
      <c r="E1017" s="1" t="s">
        <v>3118</v>
      </c>
      <c r="F1017" s="1" t="str">
        <f>"01581    "</f>
        <v xml:space="preserve">01581    </v>
      </c>
      <c r="G1017" s="1" t="str">
        <f>"8668587223"</f>
        <v>8668587223</v>
      </c>
      <c r="H1017" s="1" t="s">
        <v>2637</v>
      </c>
    </row>
    <row r="1018" spans="1:8" x14ac:dyDescent="0.25">
      <c r="A1018" s="1" t="s">
        <v>1262</v>
      </c>
      <c r="B1018" s="1" t="s">
        <v>1263</v>
      </c>
      <c r="C1018" s="1" t="s">
        <v>1264</v>
      </c>
      <c r="D1018" s="1" t="s">
        <v>3289</v>
      </c>
      <c r="E1018" s="1" t="s">
        <v>2697</v>
      </c>
      <c r="F1018" s="1" t="str">
        <f>"17106    "</f>
        <v xml:space="preserve">17106    </v>
      </c>
      <c r="G1018" s="1" t="str">
        <f>"8774957223"</f>
        <v>8774957223</v>
      </c>
      <c r="H1018" s="1" t="s">
        <v>2637</v>
      </c>
    </row>
    <row r="1019" spans="1:8" x14ac:dyDescent="0.25">
      <c r="A1019" s="1" t="s">
        <v>2702</v>
      </c>
      <c r="B1019" s="1" t="s">
        <v>2703</v>
      </c>
      <c r="C1019" s="1" t="s">
        <v>2704</v>
      </c>
      <c r="D1019" s="1" t="s">
        <v>2705</v>
      </c>
      <c r="E1019" s="1" t="s">
        <v>2706</v>
      </c>
      <c r="F1019" s="1" t="str">
        <f>"46217    "</f>
        <v xml:space="preserve">46217    </v>
      </c>
      <c r="G1019" s="1" t="str">
        <f>"8883589484"</f>
        <v>8883589484</v>
      </c>
      <c r="H1019" s="1" t="s">
        <v>2637</v>
      </c>
    </row>
    <row r="1020" spans="1:8" x14ac:dyDescent="0.25">
      <c r="A1020" s="1" t="s">
        <v>2252</v>
      </c>
      <c r="B1020" s="1" t="s">
        <v>2253</v>
      </c>
      <c r="C1020" s="1" t="s">
        <v>2254</v>
      </c>
      <c r="D1020" s="1" t="s">
        <v>2748</v>
      </c>
      <c r="E1020" s="1" t="s">
        <v>2749</v>
      </c>
      <c r="F1020" s="1" t="str">
        <f>"66225    "</f>
        <v xml:space="preserve">66225    </v>
      </c>
      <c r="G1020" s="1" t="str">
        <f>"8009909058"</f>
        <v>8009909058</v>
      </c>
      <c r="H1020" s="1" t="s">
        <v>2637</v>
      </c>
    </row>
    <row r="1021" spans="1:8" x14ac:dyDescent="0.25">
      <c r="A1021" s="1" t="s">
        <v>2330</v>
      </c>
      <c r="B1021" s="1" t="s">
        <v>2331</v>
      </c>
      <c r="C1021" s="1" t="s">
        <v>2332</v>
      </c>
      <c r="D1021" s="1" t="s">
        <v>2333</v>
      </c>
      <c r="E1021" s="1" t="s">
        <v>3118</v>
      </c>
      <c r="F1021" s="1" t="str">
        <f>"01041    "</f>
        <v xml:space="preserve">01041    </v>
      </c>
      <c r="G1021" s="1" t="str">
        <f>"8004234586"</f>
        <v>8004234586</v>
      </c>
      <c r="H1021" s="1" t="s">
        <v>2637</v>
      </c>
    </row>
    <row r="1022" spans="1:8" x14ac:dyDescent="0.25">
      <c r="A1022" s="1" t="s">
        <v>1838</v>
      </c>
      <c r="B1022" s="1" t="s">
        <v>1839</v>
      </c>
      <c r="C1022" s="1" t="s">
        <v>1840</v>
      </c>
      <c r="D1022" s="1" t="s">
        <v>2791</v>
      </c>
      <c r="E1022" s="1" t="s">
        <v>2744</v>
      </c>
      <c r="F1022" s="1" t="str">
        <f>"40742    "</f>
        <v xml:space="preserve">40742    </v>
      </c>
      <c r="G1022" s="1" t="str">
        <f>"8006274872"</f>
        <v>8006274872</v>
      </c>
      <c r="H1022" s="1" t="s">
        <v>2637</v>
      </c>
    </row>
    <row r="1023" spans="1:8" x14ac:dyDescent="0.25">
      <c r="A1023" s="1" t="s">
        <v>1938</v>
      </c>
      <c r="B1023" s="1" t="s">
        <v>1939</v>
      </c>
      <c r="C1023" s="1" t="s">
        <v>1940</v>
      </c>
      <c r="D1023" s="1" t="s">
        <v>3257</v>
      </c>
      <c r="E1023" s="1" t="s">
        <v>2832</v>
      </c>
      <c r="F1023" s="1" t="str">
        <f>"32861    "</f>
        <v xml:space="preserve">32861    </v>
      </c>
      <c r="G1023" s="1" t="str">
        <f>"8004232765"</f>
        <v>8004232765</v>
      </c>
      <c r="H1023" s="1" t="s">
        <v>2637</v>
      </c>
    </row>
    <row r="1024" spans="1:8" x14ac:dyDescent="0.25">
      <c r="A1024" s="1" t="s">
        <v>198</v>
      </c>
      <c r="B1024" s="1" t="s">
        <v>199</v>
      </c>
      <c r="C1024" s="1" t="s">
        <v>200</v>
      </c>
      <c r="D1024" s="1" t="s">
        <v>2772</v>
      </c>
      <c r="E1024" s="1" t="s">
        <v>2773</v>
      </c>
      <c r="F1024" s="1" t="str">
        <f>"10116    "</f>
        <v xml:space="preserve">10116    </v>
      </c>
      <c r="G1024" s="1" t="str">
        <f>"2125014444"</f>
        <v>2125014444</v>
      </c>
      <c r="H1024" s="1" t="s">
        <v>2637</v>
      </c>
    </row>
    <row r="1025" spans="1:8" x14ac:dyDescent="0.25">
      <c r="A1025" s="1" t="s">
        <v>1979</v>
      </c>
      <c r="B1025" s="1" t="s">
        <v>1980</v>
      </c>
      <c r="C1025" s="1" t="s">
        <v>1981</v>
      </c>
      <c r="D1025" s="1" t="s">
        <v>2717</v>
      </c>
      <c r="E1025" s="1" t="s">
        <v>2681</v>
      </c>
      <c r="F1025" s="1" t="str">
        <f>"30310    "</f>
        <v xml:space="preserve">30310    </v>
      </c>
      <c r="G1025" s="1" t="str">
        <f>"4047555665"</f>
        <v>4047555665</v>
      </c>
      <c r="H1025" s="1" t="s">
        <v>2637</v>
      </c>
    </row>
    <row r="1026" spans="1:8" x14ac:dyDescent="0.25">
      <c r="A1026" s="1" t="s">
        <v>3266</v>
      </c>
      <c r="B1026" s="1" t="s">
        <v>3267</v>
      </c>
      <c r="C1026" s="1" t="s">
        <v>3268</v>
      </c>
      <c r="D1026" s="1" t="s">
        <v>3269</v>
      </c>
      <c r="E1026" s="1" t="s">
        <v>2647</v>
      </c>
      <c r="F1026" s="1" t="str">
        <f>"217170697"</f>
        <v>217170697</v>
      </c>
      <c r="G1026" s="1" t="str">
        <f>"8009442833"</f>
        <v>8009442833</v>
      </c>
      <c r="H1026" s="1" t="s">
        <v>3270</v>
      </c>
    </row>
    <row r="1027" spans="1:8" x14ac:dyDescent="0.25">
      <c r="A1027" s="1" t="s">
        <v>549</v>
      </c>
      <c r="B1027" s="1" t="s">
        <v>550</v>
      </c>
      <c r="C1027" s="1" t="s">
        <v>551</v>
      </c>
      <c r="D1027" s="1" t="s">
        <v>2710</v>
      </c>
      <c r="E1027" s="1" t="s">
        <v>2660</v>
      </c>
      <c r="F1027" s="1" t="str">
        <f>"29606    "</f>
        <v xml:space="preserve">29606    </v>
      </c>
      <c r="G1027" s="1" t="str">
        <f>"8642893000"</f>
        <v>8642893000</v>
      </c>
      <c r="H1027" s="1" t="s">
        <v>2637</v>
      </c>
    </row>
    <row r="1028" spans="1:8" x14ac:dyDescent="0.25">
      <c r="A1028" s="1" t="s">
        <v>728</v>
      </c>
      <c r="B1028" s="1" t="s">
        <v>729</v>
      </c>
      <c r="C1028" s="1" t="s">
        <v>730</v>
      </c>
      <c r="D1028" s="1" t="s">
        <v>1381</v>
      </c>
      <c r="E1028" s="1" t="s">
        <v>2862</v>
      </c>
      <c r="F1028" s="1" t="str">
        <f>"68501    "</f>
        <v xml:space="preserve">68501    </v>
      </c>
      <c r="G1028" s="1" t="str">
        <f>"8005479515"</f>
        <v>8005479515</v>
      </c>
      <c r="H1028" s="1" t="s">
        <v>2637</v>
      </c>
    </row>
    <row r="1029" spans="1:8" x14ac:dyDescent="0.25">
      <c r="A1029" s="1" t="s">
        <v>1413</v>
      </c>
      <c r="B1029" s="1" t="s">
        <v>1414</v>
      </c>
      <c r="C1029" s="1" t="s">
        <v>1415</v>
      </c>
      <c r="D1029" s="1" t="s">
        <v>2871</v>
      </c>
      <c r="E1029" s="1" t="s">
        <v>2636</v>
      </c>
      <c r="F1029" s="1" t="str">
        <f>"75261    "</f>
        <v xml:space="preserve">75261    </v>
      </c>
      <c r="G1029" s="1" t="str">
        <f>"8006949888"</f>
        <v>8006949888</v>
      </c>
      <c r="H1029" s="1" t="s">
        <v>1416</v>
      </c>
    </row>
    <row r="1030" spans="1:8" x14ac:dyDescent="0.25">
      <c r="A1030" s="1" t="s">
        <v>2026</v>
      </c>
      <c r="B1030" s="1" t="s">
        <v>2027</v>
      </c>
      <c r="C1030" s="1" t="s">
        <v>2028</v>
      </c>
      <c r="D1030" s="1" t="s">
        <v>2029</v>
      </c>
      <c r="E1030" s="1" t="s">
        <v>2970</v>
      </c>
      <c r="F1030" s="1" t="str">
        <f>"370701449"</f>
        <v>370701449</v>
      </c>
      <c r="G1030" s="1" t="str">
        <f>"8008314914"</f>
        <v>8008314914</v>
      </c>
      <c r="H1030" s="1" t="s">
        <v>2637</v>
      </c>
    </row>
    <row r="1031" spans="1:8" x14ac:dyDescent="0.25">
      <c r="A1031" s="1" t="s">
        <v>1025</v>
      </c>
      <c r="B1031" s="1" t="s">
        <v>1026</v>
      </c>
      <c r="C1031" s="1" t="s">
        <v>1027</v>
      </c>
      <c r="D1031" s="1" t="s">
        <v>2805</v>
      </c>
      <c r="E1031" s="1" t="s">
        <v>2636</v>
      </c>
      <c r="F1031" s="1" t="str">
        <f>"787553010"</f>
        <v>787553010</v>
      </c>
      <c r="G1031" s="1" t="str">
        <f>"8008802745"</f>
        <v>8008802745</v>
      </c>
      <c r="H1031" s="1" t="s">
        <v>2637</v>
      </c>
    </row>
    <row r="1032" spans="1:8" x14ac:dyDescent="0.25">
      <c r="A1032" s="1" t="s">
        <v>2881</v>
      </c>
      <c r="B1032" s="1" t="s">
        <v>2882</v>
      </c>
      <c r="C1032" s="1" t="s">
        <v>2883</v>
      </c>
      <c r="D1032" s="1" t="s">
        <v>2884</v>
      </c>
      <c r="E1032" s="1" t="s">
        <v>2885</v>
      </c>
      <c r="F1032" s="1" t="str">
        <f>"73154    "</f>
        <v xml:space="preserve">73154    </v>
      </c>
      <c r="G1032" s="1" t="str">
        <f>"8002597765"</f>
        <v>8002597765</v>
      </c>
      <c r="H1032" s="1" t="s">
        <v>2637</v>
      </c>
    </row>
    <row r="1033" spans="1:8" x14ac:dyDescent="0.25">
      <c r="A1033" s="1" t="s">
        <v>1988</v>
      </c>
      <c r="B1033" s="1" t="s">
        <v>1989</v>
      </c>
      <c r="C1033" s="1" t="str">
        <f>"3380 TRICKHUM RD. BLDG 400, UNIT 100              "</f>
        <v xml:space="preserve">3380 TRICKHUM RD. BLDG 400, UNIT 100              </v>
      </c>
      <c r="D1033" s="1" t="s">
        <v>1990</v>
      </c>
      <c r="E1033" s="1" t="s">
        <v>2681</v>
      </c>
      <c r="F1033" s="1" t="str">
        <f>"30188    "</f>
        <v xml:space="preserve">30188    </v>
      </c>
      <c r="G1033" s="1" t="str">
        <f>"8009333734"</f>
        <v>8009333734</v>
      </c>
      <c r="H1033" s="1" t="s">
        <v>2637</v>
      </c>
    </row>
    <row r="1034" spans="1:8" x14ac:dyDescent="0.25">
      <c r="A1034" s="1" t="s">
        <v>908</v>
      </c>
      <c r="B1034" s="1" t="s">
        <v>909</v>
      </c>
      <c r="C1034" s="1" t="str">
        <f>"100 AUBURN AVENUE, NE                             "</f>
        <v xml:space="preserve">100 AUBURN AVENUE, NE                             </v>
      </c>
      <c r="D1034" s="1" t="s">
        <v>2717</v>
      </c>
      <c r="E1034" s="1" t="s">
        <v>2681</v>
      </c>
      <c r="F1034" s="1" t="str">
        <f>"30303    "</f>
        <v xml:space="preserve">30303    </v>
      </c>
      <c r="G1034" s="1" t="str">
        <f>"4046592100"</f>
        <v>4046592100</v>
      </c>
      <c r="H1034" s="1" t="s">
        <v>2637</v>
      </c>
    </row>
    <row r="1035" spans="1:8" x14ac:dyDescent="0.25">
      <c r="A1035" s="1" t="s">
        <v>1841</v>
      </c>
      <c r="B1035" s="1" t="s">
        <v>1842</v>
      </c>
      <c r="C1035" s="1" t="str">
        <f>"3090 PREMIERE PARKWAY, STE 100                    "</f>
        <v xml:space="preserve">3090 PREMIERE PARKWAY, STE 100                    </v>
      </c>
      <c r="D1035" s="1" t="s">
        <v>2867</v>
      </c>
      <c r="E1035" s="1" t="s">
        <v>2681</v>
      </c>
      <c r="F1035" s="1" t="str">
        <f>"30097    "</f>
        <v xml:space="preserve">30097    </v>
      </c>
      <c r="G1035" s="1" t="str">
        <f>"8006993542"</f>
        <v>8006993542</v>
      </c>
      <c r="H1035" s="1" t="s">
        <v>2637</v>
      </c>
    </row>
    <row r="1036" spans="1:8" x14ac:dyDescent="0.25">
      <c r="A1036" s="1" t="s">
        <v>810</v>
      </c>
      <c r="B1036" s="1" t="s">
        <v>811</v>
      </c>
      <c r="C1036" s="1" t="s">
        <v>812</v>
      </c>
      <c r="D1036" s="1" t="s">
        <v>813</v>
      </c>
      <c r="E1036" s="1" t="s">
        <v>3118</v>
      </c>
      <c r="F1036" s="1" t="str">
        <f>"01810    "</f>
        <v xml:space="preserve">01810    </v>
      </c>
      <c r="G1036" s="1" t="str">
        <f>"8004429033"</f>
        <v>8004429033</v>
      </c>
      <c r="H1036" s="1" t="s">
        <v>2760</v>
      </c>
    </row>
    <row r="1037" spans="1:8" x14ac:dyDescent="0.25">
      <c r="A1037" s="1" t="s">
        <v>1742</v>
      </c>
      <c r="B1037" s="1" t="s">
        <v>2139</v>
      </c>
      <c r="C1037" s="1" t="s">
        <v>1743</v>
      </c>
      <c r="D1037" s="1" t="s">
        <v>2701</v>
      </c>
      <c r="E1037" s="1" t="s">
        <v>2660</v>
      </c>
      <c r="F1037" s="1" t="str">
        <f>"29221    "</f>
        <v xml:space="preserve">29221    </v>
      </c>
      <c r="G1037" s="1" t="str">
        <f>"8778400936"</f>
        <v>8778400936</v>
      </c>
      <c r="H1037" s="1" t="s">
        <v>2637</v>
      </c>
    </row>
    <row r="1038" spans="1:8" x14ac:dyDescent="0.25">
      <c r="A1038" s="1" t="s">
        <v>2138</v>
      </c>
      <c r="B1038" s="1" t="s">
        <v>2139</v>
      </c>
      <c r="C1038" s="1" t="s">
        <v>2140</v>
      </c>
      <c r="D1038" s="1" t="s">
        <v>2141</v>
      </c>
      <c r="E1038" s="1" t="s">
        <v>2744</v>
      </c>
      <c r="F1038" s="1" t="str">
        <f>"41311    "</f>
        <v xml:space="preserve">41311    </v>
      </c>
      <c r="G1038" s="1" t="str">
        <f>"8003258424"</f>
        <v>8003258424</v>
      </c>
      <c r="H1038" s="1" t="s">
        <v>2637</v>
      </c>
    </row>
    <row r="1039" spans="1:8" x14ac:dyDescent="0.25">
      <c r="A1039" s="1" t="s">
        <v>793</v>
      </c>
      <c r="B1039" s="1" t="s">
        <v>794</v>
      </c>
      <c r="C1039" s="1" t="s">
        <v>795</v>
      </c>
      <c r="D1039" s="1" t="s">
        <v>2820</v>
      </c>
      <c r="E1039" s="1" t="s">
        <v>2714</v>
      </c>
      <c r="F1039" s="1" t="str">
        <f>"43058    "</f>
        <v xml:space="preserve">43058    </v>
      </c>
      <c r="G1039" s="1" t="str">
        <f>"8006868425"</f>
        <v>8006868425</v>
      </c>
      <c r="H1039" s="1" t="s">
        <v>2637</v>
      </c>
    </row>
    <row r="1040" spans="1:8" x14ac:dyDescent="0.25">
      <c r="A1040" s="1" t="s">
        <v>1822</v>
      </c>
      <c r="B1040" s="1" t="s">
        <v>1823</v>
      </c>
      <c r="C1040" s="1" t="str">
        <f>"5835 WEST 74TH ST                                 "</f>
        <v xml:space="preserve">5835 WEST 74TH ST                                 </v>
      </c>
      <c r="D1040" s="1" t="s">
        <v>2705</v>
      </c>
      <c r="E1040" s="1" t="s">
        <v>2706</v>
      </c>
      <c r="F1040" s="1" t="str">
        <f>"462781758"</f>
        <v>462781758</v>
      </c>
      <c r="G1040" s="1" t="str">
        <f>"3173298222"</f>
        <v>3173298222</v>
      </c>
      <c r="H1040" s="1" t="s">
        <v>2760</v>
      </c>
    </row>
    <row r="1041" spans="1:8" x14ac:dyDescent="0.25">
      <c r="A1041" s="1" t="s">
        <v>2521</v>
      </c>
      <c r="B1041" s="1" t="s">
        <v>2522</v>
      </c>
      <c r="C1041" s="1" t="s">
        <v>2523</v>
      </c>
      <c r="D1041" s="1" t="s">
        <v>2737</v>
      </c>
      <c r="E1041" s="1" t="s">
        <v>2667</v>
      </c>
      <c r="F1041" s="1" t="str">
        <f>"543070888"</f>
        <v>543070888</v>
      </c>
      <c r="G1041" s="1" t="str">
        <f>"8003760110"</f>
        <v>8003760110</v>
      </c>
      <c r="H1041" s="1" t="s">
        <v>2648</v>
      </c>
    </row>
    <row r="1042" spans="1:8" x14ac:dyDescent="0.25">
      <c r="A1042" s="1" t="s">
        <v>573</v>
      </c>
      <c r="B1042" s="1" t="s">
        <v>574</v>
      </c>
      <c r="C1042" s="1" t="s">
        <v>575</v>
      </c>
      <c r="D1042" s="1" t="s">
        <v>1807</v>
      </c>
      <c r="E1042" s="1" t="s">
        <v>2773</v>
      </c>
      <c r="F1042" s="1" t="str">
        <f>"11747    "</f>
        <v xml:space="preserve">11747    </v>
      </c>
      <c r="G1042" s="1" t="str">
        <f>"8668089399"</f>
        <v>8668089399</v>
      </c>
      <c r="H1042" s="1" t="s">
        <v>2637</v>
      </c>
    </row>
    <row r="1043" spans="1:8" x14ac:dyDescent="0.25">
      <c r="A1043" s="1" t="s">
        <v>164</v>
      </c>
      <c r="B1043" s="1" t="s">
        <v>3025</v>
      </c>
      <c r="C1043" s="1" t="s">
        <v>165</v>
      </c>
      <c r="D1043" s="1" t="s">
        <v>1506</v>
      </c>
      <c r="E1043" s="1" t="s">
        <v>2667</v>
      </c>
      <c r="F1043" s="1" t="str">
        <f>"546568764"</f>
        <v>546568764</v>
      </c>
      <c r="G1043" s="1" t="str">
        <f>"8002368672"</f>
        <v>8002368672</v>
      </c>
      <c r="H1043" s="1" t="s">
        <v>2278</v>
      </c>
    </row>
    <row r="1044" spans="1:8" x14ac:dyDescent="0.25">
      <c r="A1044" s="1" t="s">
        <v>3056</v>
      </c>
      <c r="B1044" s="1" t="s">
        <v>3057</v>
      </c>
      <c r="C1044" s="1" t="s">
        <v>3058</v>
      </c>
      <c r="D1044" s="1" t="s">
        <v>2854</v>
      </c>
      <c r="E1044" s="1" t="s">
        <v>2636</v>
      </c>
      <c r="F1044" s="1" t="str">
        <f>"799981726"</f>
        <v>799981726</v>
      </c>
      <c r="G1044" s="1" t="str">
        <f>"8662475678"</f>
        <v>8662475678</v>
      </c>
      <c r="H1044" s="1" t="s">
        <v>2637</v>
      </c>
    </row>
    <row r="1045" spans="1:8" x14ac:dyDescent="0.25">
      <c r="A1045" s="1" t="s">
        <v>2414</v>
      </c>
      <c r="B1045" s="1" t="s">
        <v>2100</v>
      </c>
      <c r="C1045" s="1" t="s">
        <v>2415</v>
      </c>
      <c r="D1045" s="1" t="s">
        <v>2635</v>
      </c>
      <c r="E1045" s="1" t="s">
        <v>2636</v>
      </c>
      <c r="F1045" s="1" t="str">
        <f>"77292    "</f>
        <v xml:space="preserve">77292    </v>
      </c>
      <c r="G1045" s="1" t="str">
        <f>"8006334226"</f>
        <v>8006334226</v>
      </c>
      <c r="H1045" s="1" t="s">
        <v>2637</v>
      </c>
    </row>
    <row r="1046" spans="1:8" x14ac:dyDescent="0.25">
      <c r="A1046" s="1" t="s">
        <v>2099</v>
      </c>
      <c r="B1046" s="1" t="s">
        <v>2100</v>
      </c>
      <c r="C1046" s="1" t="s">
        <v>2101</v>
      </c>
      <c r="D1046" s="1" t="s">
        <v>2635</v>
      </c>
      <c r="E1046" s="1" t="s">
        <v>2636</v>
      </c>
      <c r="F1046" s="1" t="str">
        <f>"77292    "</f>
        <v xml:space="preserve">77292    </v>
      </c>
      <c r="G1046" s="1" t="str">
        <f>"8005989799"</f>
        <v>8005989799</v>
      </c>
      <c r="H1046" s="1" t="s">
        <v>2637</v>
      </c>
    </row>
    <row r="1047" spans="1:8" x14ac:dyDescent="0.25">
      <c r="A1047" s="1" t="s">
        <v>955</v>
      </c>
      <c r="B1047" s="1" t="s">
        <v>956</v>
      </c>
      <c r="C1047" s="1" t="s">
        <v>957</v>
      </c>
      <c r="D1047" s="1" t="s">
        <v>958</v>
      </c>
      <c r="E1047" s="1" t="s">
        <v>2821</v>
      </c>
      <c r="F1047" s="1" t="str">
        <f>"08037    "</f>
        <v xml:space="preserve">08037    </v>
      </c>
      <c r="G1047" s="1" t="str">
        <f>"8883282287"</f>
        <v>8883282287</v>
      </c>
      <c r="H1047" s="1" t="s">
        <v>2637</v>
      </c>
    </row>
    <row r="1048" spans="1:8" x14ac:dyDescent="0.25">
      <c r="A1048" s="1" t="s">
        <v>316</v>
      </c>
      <c r="B1048" s="1" t="s">
        <v>2522</v>
      </c>
      <c r="C1048" s="1" t="s">
        <v>2523</v>
      </c>
      <c r="D1048" s="1" t="s">
        <v>2737</v>
      </c>
      <c r="E1048" s="1" t="s">
        <v>2667</v>
      </c>
      <c r="F1048" s="1" t="str">
        <f>"54307    "</f>
        <v xml:space="preserve">54307    </v>
      </c>
      <c r="G1048" s="1" t="str">
        <f>"8003760110"</f>
        <v>8003760110</v>
      </c>
      <c r="H1048" s="1" t="s">
        <v>2637</v>
      </c>
    </row>
    <row r="1049" spans="1:8" x14ac:dyDescent="0.25">
      <c r="A1049" s="1" t="s">
        <v>2184</v>
      </c>
      <c r="B1049" s="1" t="s">
        <v>2185</v>
      </c>
      <c r="C1049" s="1" t="str">
        <f>"1170 E WESTERN RESERVE RD                         "</f>
        <v xml:space="preserve">1170 E WESTERN RESERVE RD                         </v>
      </c>
      <c r="D1049" s="1" t="s">
        <v>2186</v>
      </c>
      <c r="E1049" s="1" t="s">
        <v>2714</v>
      </c>
      <c r="F1049" s="1" t="str">
        <f>"44514    "</f>
        <v xml:space="preserve">44514    </v>
      </c>
      <c r="G1049" s="1" t="str">
        <f>"8007740890"</f>
        <v>8007740890</v>
      </c>
      <c r="H1049" s="1" t="s">
        <v>2637</v>
      </c>
    </row>
    <row r="1050" spans="1:8" x14ac:dyDescent="0.25">
      <c r="A1050" s="1" t="s">
        <v>1701</v>
      </c>
      <c r="B1050" s="1" t="s">
        <v>1702</v>
      </c>
      <c r="C1050" s="1" t="s">
        <v>1703</v>
      </c>
      <c r="D1050" s="1" t="s">
        <v>2673</v>
      </c>
      <c r="E1050" s="1" t="s">
        <v>2674</v>
      </c>
      <c r="F1050" s="1" t="str">
        <f>"84123    "</f>
        <v xml:space="preserve">84123    </v>
      </c>
      <c r="G1050" s="1" t="str">
        <f>"8005385038"</f>
        <v>8005385038</v>
      </c>
      <c r="H1050" s="1" t="s">
        <v>2637</v>
      </c>
    </row>
    <row r="1051" spans="1:8" x14ac:dyDescent="0.25">
      <c r="A1051" s="1" t="s">
        <v>350</v>
      </c>
      <c r="B1051" s="1" t="s">
        <v>351</v>
      </c>
      <c r="C1051" s="1" t="s">
        <v>352</v>
      </c>
      <c r="D1051" s="1" t="s">
        <v>353</v>
      </c>
      <c r="E1051" s="1" t="s">
        <v>3118</v>
      </c>
      <c r="F1051" s="1" t="str">
        <f>"01615    "</f>
        <v xml:space="preserve">01615    </v>
      </c>
      <c r="G1051" s="1" t="str">
        <f>"8008685200"</f>
        <v>8008685200</v>
      </c>
      <c r="H1051" s="1" t="s">
        <v>2637</v>
      </c>
    </row>
    <row r="1052" spans="1:8" x14ac:dyDescent="0.25">
      <c r="A1052" s="1" t="s">
        <v>347</v>
      </c>
      <c r="B1052" s="1" t="s">
        <v>348</v>
      </c>
      <c r="C1052" s="1" t="s">
        <v>349</v>
      </c>
      <c r="D1052" s="1" t="s">
        <v>2713</v>
      </c>
      <c r="E1052" s="1" t="s">
        <v>2714</v>
      </c>
      <c r="F1052" s="1" t="str">
        <f>"44139    "</f>
        <v xml:space="preserve">44139    </v>
      </c>
      <c r="G1052" s="1" t="str">
        <f>"8888685854"</f>
        <v>8888685854</v>
      </c>
      <c r="H1052" s="1" t="s">
        <v>2637</v>
      </c>
    </row>
    <row r="1053" spans="1:8" x14ac:dyDescent="0.25">
      <c r="A1053" s="1" t="s">
        <v>1468</v>
      </c>
      <c r="B1053" s="1" t="s">
        <v>1469</v>
      </c>
      <c r="C1053" s="1" t="s">
        <v>1470</v>
      </c>
      <c r="D1053" s="1" t="s">
        <v>2351</v>
      </c>
      <c r="E1053" s="1" t="s">
        <v>2667</v>
      </c>
      <c r="F1053" s="1" t="str">
        <f>"54402    "</f>
        <v xml:space="preserve">54402    </v>
      </c>
      <c r="G1053" s="1" t="str">
        <f>"8775592955"</f>
        <v>8775592955</v>
      </c>
      <c r="H1053" s="1" t="s">
        <v>2637</v>
      </c>
    </row>
    <row r="1054" spans="1:8" x14ac:dyDescent="0.25">
      <c r="A1054" s="1" t="s">
        <v>2892</v>
      </c>
      <c r="B1054" s="1" t="s">
        <v>2893</v>
      </c>
      <c r="C1054" s="1" t="s">
        <v>2894</v>
      </c>
      <c r="D1054" s="1" t="s">
        <v>2635</v>
      </c>
      <c r="E1054" s="1" t="s">
        <v>2636</v>
      </c>
      <c r="F1054" s="1" t="str">
        <f>"77218    "</f>
        <v xml:space="preserve">77218    </v>
      </c>
      <c r="G1054" s="1" t="str">
        <f>"2818291033"</f>
        <v>2818291033</v>
      </c>
      <c r="H1054" s="1" t="s">
        <v>2637</v>
      </c>
    </row>
    <row r="1055" spans="1:8" x14ac:dyDescent="0.25">
      <c r="A1055" s="1" t="s">
        <v>1762</v>
      </c>
      <c r="B1055" s="1" t="s">
        <v>1763</v>
      </c>
      <c r="C1055" s="1" t="str">
        <f>"110 WEST 7TH ST. SUITE 300                        "</f>
        <v xml:space="preserve">110 WEST 7TH ST. SUITE 300                        </v>
      </c>
      <c r="D1055" s="1" t="s">
        <v>2465</v>
      </c>
      <c r="E1055" s="1" t="s">
        <v>2636</v>
      </c>
      <c r="F1055" s="1" t="str">
        <f>"76102    "</f>
        <v xml:space="preserve">76102    </v>
      </c>
      <c r="G1055" s="1" t="str">
        <f>"8002219039"</f>
        <v>8002219039</v>
      </c>
      <c r="H1055" s="1" t="s">
        <v>2637</v>
      </c>
    </row>
    <row r="1056" spans="1:8" x14ac:dyDescent="0.25">
      <c r="A1056" s="1" t="s">
        <v>3146</v>
      </c>
      <c r="B1056" s="1" t="s">
        <v>3147</v>
      </c>
      <c r="C1056" s="1" t="s">
        <v>3148</v>
      </c>
      <c r="D1056" s="1" t="s">
        <v>3149</v>
      </c>
      <c r="E1056" s="1" t="s">
        <v>2644</v>
      </c>
      <c r="F1056" s="1" t="str">
        <f>"48080    "</f>
        <v xml:space="preserve">48080    </v>
      </c>
      <c r="G1056" s="1" t="str">
        <f>"8107797676"</f>
        <v>8107797676</v>
      </c>
      <c r="H1056" s="1" t="s">
        <v>2637</v>
      </c>
    </row>
    <row r="1057" spans="1:8" x14ac:dyDescent="0.25">
      <c r="A1057" s="1" t="s">
        <v>869</v>
      </c>
      <c r="B1057" s="1" t="s">
        <v>870</v>
      </c>
      <c r="C1057" s="1" t="str">
        <f>"2425 WEST SHAW AVE                                "</f>
        <v xml:space="preserve">2425 WEST SHAW AVE                                </v>
      </c>
      <c r="D1057" s="1" t="s">
        <v>2687</v>
      </c>
      <c r="E1057" s="1" t="s">
        <v>2663</v>
      </c>
      <c r="F1057" s="1" t="str">
        <f>"93711    "</f>
        <v xml:space="preserve">93711    </v>
      </c>
      <c r="G1057" s="1" t="str">
        <f>"8004608988"</f>
        <v>8004608988</v>
      </c>
      <c r="H1057" s="1" t="s">
        <v>2637</v>
      </c>
    </row>
    <row r="1058" spans="1:8" x14ac:dyDescent="0.25">
      <c r="A1058" s="1" t="s">
        <v>2427</v>
      </c>
      <c r="B1058" s="1" t="s">
        <v>2428</v>
      </c>
      <c r="C1058" s="1" t="str">
        <f>"3035 LAKELAND HILLS BLVD                          "</f>
        <v xml:space="preserve">3035 LAKELAND HILLS BLVD                          </v>
      </c>
      <c r="D1058" s="1" t="s">
        <v>2429</v>
      </c>
      <c r="E1058" s="1" t="s">
        <v>2832</v>
      </c>
      <c r="F1058" s="1" t="str">
        <f>"33805    "</f>
        <v xml:space="preserve">33805    </v>
      </c>
      <c r="G1058" s="1" t="str">
        <f>"8002263155"</f>
        <v>8002263155</v>
      </c>
      <c r="H1058" s="1" t="s">
        <v>2637</v>
      </c>
    </row>
    <row r="1059" spans="1:8" x14ac:dyDescent="0.25">
      <c r="A1059" s="1" t="s">
        <v>143</v>
      </c>
      <c r="B1059" s="1" t="s">
        <v>144</v>
      </c>
      <c r="C1059" s="1" t="s">
        <v>145</v>
      </c>
      <c r="D1059" s="1" t="s">
        <v>3160</v>
      </c>
      <c r="E1059" s="1" t="s">
        <v>3161</v>
      </c>
      <c r="F1059" s="1" t="str">
        <f>"39205    "</f>
        <v xml:space="preserve">39205    </v>
      </c>
      <c r="G1059" s="1" t="str">
        <f>"8004579611"</f>
        <v>8004579611</v>
      </c>
      <c r="H1059" s="1" t="s">
        <v>2637</v>
      </c>
    </row>
    <row r="1060" spans="1:8" x14ac:dyDescent="0.25">
      <c r="A1060" s="1" t="s">
        <v>1843</v>
      </c>
      <c r="B1060" s="1" t="s">
        <v>1844</v>
      </c>
      <c r="C1060" s="1" t="s">
        <v>1845</v>
      </c>
      <c r="D1060" s="1" t="s">
        <v>2317</v>
      </c>
      <c r="E1060" s="1" t="s">
        <v>2832</v>
      </c>
      <c r="F1060" s="1" t="str">
        <f>"332569000"</f>
        <v>332569000</v>
      </c>
      <c r="G1060" s="1" t="str">
        <f>"8004528633"</f>
        <v>8004528633</v>
      </c>
      <c r="H1060" s="1" t="s">
        <v>2637</v>
      </c>
    </row>
    <row r="1061" spans="1:8" x14ac:dyDescent="0.25">
      <c r="A1061" s="1" t="s">
        <v>1149</v>
      </c>
      <c r="B1061" s="1" t="s">
        <v>1150</v>
      </c>
      <c r="C1061" s="1" t="str">
        <f>"701 EMERSON RD. STE. 301                          "</f>
        <v xml:space="preserve">701 EMERSON RD. STE. 301                          </v>
      </c>
      <c r="D1061" s="1" t="s">
        <v>1151</v>
      </c>
      <c r="E1061" s="1" t="s">
        <v>2670</v>
      </c>
      <c r="F1061" s="1" t="str">
        <f>"63141    "</f>
        <v xml:space="preserve">63141    </v>
      </c>
      <c r="G1061" s="1" t="str">
        <f>"8665163121"</f>
        <v>8665163121</v>
      </c>
      <c r="H1061" s="1" t="s">
        <v>2637</v>
      </c>
    </row>
    <row r="1062" spans="1:8" x14ac:dyDescent="0.25">
      <c r="A1062" s="1" t="s">
        <v>1698</v>
      </c>
      <c r="B1062" s="1" t="s">
        <v>1699</v>
      </c>
      <c r="C1062" s="1" t="str">
        <f>"1100 31ST STREET                                  "</f>
        <v xml:space="preserve">1100 31ST STREET                                  </v>
      </c>
      <c r="D1062" s="1" t="s">
        <v>1700</v>
      </c>
      <c r="E1062" s="1" t="s">
        <v>2786</v>
      </c>
      <c r="F1062" s="1" t="str">
        <f>"60515    "</f>
        <v xml:space="preserve">60515    </v>
      </c>
      <c r="G1062" s="1" t="str">
        <f>"8003233359"</f>
        <v>8003233359</v>
      </c>
      <c r="H1062" s="1" t="s">
        <v>2735</v>
      </c>
    </row>
    <row r="1063" spans="1:8" x14ac:dyDescent="0.25">
      <c r="A1063" s="1" t="s">
        <v>2628</v>
      </c>
      <c r="B1063" s="1" t="s">
        <v>2629</v>
      </c>
      <c r="C1063" s="1" t="str">
        <f>"3680 GRANDVIEW PARKWAY STE 100                    "</f>
        <v xml:space="preserve">3680 GRANDVIEW PARKWAY STE 100                    </v>
      </c>
      <c r="D1063" s="1" t="s">
        <v>3085</v>
      </c>
      <c r="E1063" s="1" t="s">
        <v>3086</v>
      </c>
      <c r="F1063" s="1" t="str">
        <f>"35243    "</f>
        <v xml:space="preserve">35243    </v>
      </c>
      <c r="G1063" s="1" t="str">
        <f>"8009258327"</f>
        <v>8009258327</v>
      </c>
      <c r="H1063" s="1" t="s">
        <v>2735</v>
      </c>
    </row>
    <row r="1064" spans="1:8" x14ac:dyDescent="0.25">
      <c r="A1064" s="1" t="s">
        <v>3047</v>
      </c>
      <c r="B1064" s="1" t="s">
        <v>3048</v>
      </c>
      <c r="C1064" s="1" t="s">
        <v>3049</v>
      </c>
      <c r="D1064" s="1" t="s">
        <v>3050</v>
      </c>
      <c r="E1064" s="1" t="s">
        <v>2663</v>
      </c>
      <c r="F1064" s="1" t="str">
        <f>"92799    "</f>
        <v xml:space="preserve">92799    </v>
      </c>
      <c r="G1064" s="1" t="str">
        <f>"8889020349"</f>
        <v>8889020349</v>
      </c>
      <c r="H1064" s="1" t="s">
        <v>2637</v>
      </c>
    </row>
    <row r="1065" spans="1:8" x14ac:dyDescent="0.25">
      <c r="A1065" s="1" t="s">
        <v>2693</v>
      </c>
      <c r="B1065" s="1" t="s">
        <v>2694</v>
      </c>
      <c r="C1065" s="1" t="s">
        <v>2695</v>
      </c>
      <c r="D1065" s="1" t="s">
        <v>2696</v>
      </c>
      <c r="E1065" s="1" t="s">
        <v>2697</v>
      </c>
      <c r="F1065" s="1" t="str">
        <f>"17605    "</f>
        <v xml:space="preserve">17605    </v>
      </c>
      <c r="G1065" s="1" t="str">
        <f>"8002330307"</f>
        <v>8002330307</v>
      </c>
      <c r="H1065" s="1" t="s">
        <v>2637</v>
      </c>
    </row>
    <row r="1066" spans="1:8" x14ac:dyDescent="0.25">
      <c r="A1066" s="1" t="s">
        <v>256</v>
      </c>
      <c r="B1066" s="1" t="s">
        <v>257</v>
      </c>
      <c r="C1066" s="1" t="s">
        <v>258</v>
      </c>
      <c r="D1066" s="1" t="s">
        <v>3070</v>
      </c>
      <c r="E1066" s="1" t="s">
        <v>2714</v>
      </c>
      <c r="F1066" s="1" t="str">
        <f>"45214    "</f>
        <v xml:space="preserve">45214    </v>
      </c>
      <c r="G1066" s="1" t="str">
        <f>"5136193000"</f>
        <v>5136193000</v>
      </c>
      <c r="H1066" s="1" t="s">
        <v>2637</v>
      </c>
    </row>
    <row r="1067" spans="1:8" x14ac:dyDescent="0.25">
      <c r="A1067" s="1" t="s">
        <v>120</v>
      </c>
      <c r="B1067" s="1" t="s">
        <v>121</v>
      </c>
      <c r="C1067" s="1" t="s">
        <v>122</v>
      </c>
      <c r="D1067" s="1" t="s">
        <v>3157</v>
      </c>
      <c r="E1067" s="1" t="s">
        <v>2970</v>
      </c>
      <c r="F1067" s="1" t="str">
        <f>"37214    "</f>
        <v xml:space="preserve">37214    </v>
      </c>
      <c r="G1067" s="1" t="str">
        <f>"8775311159"</f>
        <v>8775311159</v>
      </c>
      <c r="H1067" s="1" t="s">
        <v>2637</v>
      </c>
    </row>
    <row r="1068" spans="1:8" x14ac:dyDescent="0.25">
      <c r="A1068" s="1" t="s">
        <v>798</v>
      </c>
      <c r="B1068" s="1" t="s">
        <v>799</v>
      </c>
      <c r="C1068" s="1" t="s">
        <v>800</v>
      </c>
      <c r="D1068" s="1" t="s">
        <v>2442</v>
      </c>
      <c r="E1068" s="1" t="s">
        <v>3264</v>
      </c>
      <c r="F1068" s="1" t="str">
        <f>"503069126"</f>
        <v>503069126</v>
      </c>
      <c r="G1068" s="1" t="str">
        <f>"8002472192"</f>
        <v>8002472192</v>
      </c>
      <c r="H1068" s="1" t="s">
        <v>801</v>
      </c>
    </row>
    <row r="1069" spans="1:8" x14ac:dyDescent="0.25">
      <c r="A1069" s="1" t="s">
        <v>744</v>
      </c>
      <c r="B1069" s="1" t="s">
        <v>745</v>
      </c>
      <c r="C1069" s="1" t="s">
        <v>746</v>
      </c>
      <c r="D1069" s="1" t="s">
        <v>2666</v>
      </c>
      <c r="E1069" s="1" t="s">
        <v>2667</v>
      </c>
      <c r="F1069" s="1" t="str">
        <f>"549120999"</f>
        <v>549120999</v>
      </c>
      <c r="G1069" s="1" t="str">
        <f>"8662682501"</f>
        <v>8662682501</v>
      </c>
      <c r="H1069" s="1" t="s">
        <v>2637</v>
      </c>
    </row>
    <row r="1070" spans="1:8" x14ac:dyDescent="0.25">
      <c r="A1070" s="1" t="s">
        <v>1430</v>
      </c>
      <c r="B1070" s="1" t="s">
        <v>1431</v>
      </c>
      <c r="C1070" s="1" t="s">
        <v>1432</v>
      </c>
      <c r="D1070" s="1" t="s">
        <v>3230</v>
      </c>
      <c r="E1070" s="1" t="s">
        <v>2697</v>
      </c>
      <c r="F1070" s="1" t="str">
        <f>"15230    "</f>
        <v xml:space="preserve">15230    </v>
      </c>
      <c r="G1070" s="1" t="str">
        <f>"8773813764"</f>
        <v>8773813764</v>
      </c>
      <c r="H1070" s="1" t="s">
        <v>2637</v>
      </c>
    </row>
    <row r="1071" spans="1:8" x14ac:dyDescent="0.25">
      <c r="A1071" s="1" t="s">
        <v>1417</v>
      </c>
      <c r="B1071" s="1" t="s">
        <v>2136</v>
      </c>
      <c r="C1071" s="1" t="s">
        <v>1418</v>
      </c>
      <c r="D1071" s="1" t="s">
        <v>2923</v>
      </c>
      <c r="E1071" s="1" t="s">
        <v>2714</v>
      </c>
      <c r="F1071" s="1" t="str">
        <f>"432162348"</f>
        <v>432162348</v>
      </c>
      <c r="G1071" s="1" t="str">
        <f>"8009221245"</f>
        <v>8009221245</v>
      </c>
      <c r="H1071" s="1" t="s">
        <v>1419</v>
      </c>
    </row>
    <row r="1072" spans="1:8" x14ac:dyDescent="0.25">
      <c r="A1072" s="1" t="s">
        <v>3015</v>
      </c>
      <c r="B1072" s="1" t="s">
        <v>3016</v>
      </c>
      <c r="C1072" s="1" t="s">
        <v>3017</v>
      </c>
      <c r="D1072" s="1" t="s">
        <v>2901</v>
      </c>
      <c r="E1072" s="1" t="s">
        <v>2902</v>
      </c>
      <c r="F1072" s="1" t="str">
        <f>"55440    "</f>
        <v xml:space="preserve">55440    </v>
      </c>
      <c r="G1072" s="1" t="str">
        <f>"8003716561"</f>
        <v>8003716561</v>
      </c>
      <c r="H1072" s="1" t="s">
        <v>2637</v>
      </c>
    </row>
    <row r="1073" spans="1:8" x14ac:dyDescent="0.25">
      <c r="A1073" s="1" t="s">
        <v>3185</v>
      </c>
      <c r="B1073" s="1" t="s">
        <v>3186</v>
      </c>
      <c r="C1073" s="1" t="s">
        <v>3187</v>
      </c>
      <c r="D1073" s="1" t="s">
        <v>3188</v>
      </c>
      <c r="E1073" s="1" t="s">
        <v>2832</v>
      </c>
      <c r="F1073" s="1" t="str">
        <f>"325912457"</f>
        <v>325912457</v>
      </c>
      <c r="G1073" s="1" t="str">
        <f>"8888031780"</f>
        <v>8888031780</v>
      </c>
      <c r="H1073" s="1" t="s">
        <v>2760</v>
      </c>
    </row>
    <row r="1074" spans="1:8" x14ac:dyDescent="0.25">
      <c r="A1074" s="1" t="s">
        <v>1485</v>
      </c>
      <c r="B1074" s="1" t="s">
        <v>1486</v>
      </c>
      <c r="C1074" s="1" t="s">
        <v>1487</v>
      </c>
      <c r="D1074" s="1" t="s">
        <v>2743</v>
      </c>
      <c r="E1074" s="1" t="s">
        <v>2744</v>
      </c>
      <c r="F1074" s="1" t="str">
        <f>"40232    "</f>
        <v xml:space="preserve">40232    </v>
      </c>
      <c r="G1074" s="1" t="str">
        <f>"5024261843"</f>
        <v>5024261843</v>
      </c>
      <c r="H1074" s="1" t="s">
        <v>2688</v>
      </c>
    </row>
    <row r="1075" spans="1:8" x14ac:dyDescent="0.25">
      <c r="A1075" s="1" t="s">
        <v>1614</v>
      </c>
      <c r="B1075" s="1" t="s">
        <v>1615</v>
      </c>
      <c r="C1075" s="1" t="str">
        <f>"501 SHATTO PLACE, 5TH FLOOR                       "</f>
        <v xml:space="preserve">501 SHATTO PLACE, 5TH FLOOR                       </v>
      </c>
      <c r="D1075" s="1" t="s">
        <v>2874</v>
      </c>
      <c r="E1075" s="1" t="s">
        <v>2663</v>
      </c>
      <c r="F1075" s="1" t="str">
        <f>"90020    "</f>
        <v xml:space="preserve">90020    </v>
      </c>
      <c r="G1075" s="1" t="str">
        <f>"2133856161"</f>
        <v>2133856161</v>
      </c>
      <c r="H1075" s="1" t="s">
        <v>2760</v>
      </c>
    </row>
    <row r="1076" spans="1:8" x14ac:dyDescent="0.25">
      <c r="A1076" s="1" t="s">
        <v>1146</v>
      </c>
      <c r="B1076" s="1" t="s">
        <v>1147</v>
      </c>
      <c r="C1076" s="1" t="s">
        <v>1148</v>
      </c>
      <c r="D1076" s="1" t="s">
        <v>2808</v>
      </c>
      <c r="E1076" s="1" t="s">
        <v>2809</v>
      </c>
      <c r="F1076" s="1" t="str">
        <f>"850784150"</f>
        <v>850784150</v>
      </c>
      <c r="G1076" s="1" t="str">
        <f>"8002881474"</f>
        <v>8002881474</v>
      </c>
      <c r="H1076" s="1" t="s">
        <v>2760</v>
      </c>
    </row>
    <row r="1077" spans="1:8" x14ac:dyDescent="0.25">
      <c r="A1077" s="1" t="s">
        <v>1358</v>
      </c>
      <c r="B1077" s="1" t="s">
        <v>1359</v>
      </c>
      <c r="C1077" s="1" t="s">
        <v>1360</v>
      </c>
      <c r="D1077" s="1" t="s">
        <v>1361</v>
      </c>
      <c r="E1077" s="1" t="s">
        <v>2714</v>
      </c>
      <c r="F1077" s="1" t="str">
        <f>"442362584"</f>
        <v>442362584</v>
      </c>
      <c r="G1077" s="1" t="str">
        <f>"8008930777"</f>
        <v>8008930777</v>
      </c>
      <c r="H1077" s="1" t="s">
        <v>2637</v>
      </c>
    </row>
    <row r="1078" spans="1:8" x14ac:dyDescent="0.25">
      <c r="A1078" s="1" t="s">
        <v>2689</v>
      </c>
      <c r="B1078" s="1" t="s">
        <v>2690</v>
      </c>
      <c r="C1078" s="1" t="str">
        <f>"1747 PENNSYLVANIA AVE NORTH WEST                  "</f>
        <v xml:space="preserve">1747 PENNSYLVANIA AVE NORTH WEST                  </v>
      </c>
      <c r="D1078" s="1" t="s">
        <v>2691</v>
      </c>
      <c r="E1078" s="1" t="s">
        <v>2692</v>
      </c>
      <c r="F1078" s="1" t="str">
        <f>"20006    "</f>
        <v xml:space="preserve">20006    </v>
      </c>
      <c r="G1078" s="1" t="str">
        <f>"8002751171"</f>
        <v>8002751171</v>
      </c>
      <c r="H1078" s="1" t="s">
        <v>2637</v>
      </c>
    </row>
    <row r="1079" spans="1:8" x14ac:dyDescent="0.25">
      <c r="A1079" s="1" t="s">
        <v>3141</v>
      </c>
      <c r="B1079" s="1" t="s">
        <v>3142</v>
      </c>
      <c r="C1079" s="1" t="s">
        <v>3143</v>
      </c>
      <c r="D1079" s="1" t="s">
        <v>3144</v>
      </c>
      <c r="E1079" s="1" t="s">
        <v>2681</v>
      </c>
      <c r="F1079" s="1" t="str">
        <f>"300670092"</f>
        <v>300670092</v>
      </c>
      <c r="G1079" s="1" t="str">
        <f>"8005627079"</f>
        <v>8005627079</v>
      </c>
      <c r="H1079" s="1" t="s">
        <v>3145</v>
      </c>
    </row>
    <row r="1080" spans="1:8" x14ac:dyDescent="0.25">
      <c r="A1080" s="1" t="s">
        <v>1601</v>
      </c>
      <c r="B1080" s="1" t="s">
        <v>1602</v>
      </c>
      <c r="C1080" s="1" t="str">
        <f>"340 QUADRANGLE DR                                 "</f>
        <v xml:space="preserve">340 QUADRANGLE DR                                 </v>
      </c>
      <c r="D1080" s="1" t="s">
        <v>1603</v>
      </c>
      <c r="E1080" s="1" t="s">
        <v>2786</v>
      </c>
      <c r="F1080" s="1" t="str">
        <f>"60440    "</f>
        <v xml:space="preserve">60440    </v>
      </c>
      <c r="G1080" s="1" t="str">
        <f>"8009687222"</f>
        <v>8009687222</v>
      </c>
      <c r="H1080" s="1" t="s">
        <v>2637</v>
      </c>
    </row>
    <row r="1081" spans="1:8" x14ac:dyDescent="0.25">
      <c r="A1081" s="1" t="s">
        <v>2166</v>
      </c>
      <c r="B1081" s="1" t="s">
        <v>2167</v>
      </c>
      <c r="C1081" s="1" t="s">
        <v>2168</v>
      </c>
      <c r="D1081" s="1" t="s">
        <v>2169</v>
      </c>
      <c r="E1081" s="1" t="s">
        <v>2644</v>
      </c>
      <c r="F1081" s="1" t="str">
        <f>"39158    "</f>
        <v xml:space="preserve">39158    </v>
      </c>
      <c r="G1081" s="1" t="str">
        <f>"8774766327"</f>
        <v>8774766327</v>
      </c>
      <c r="H1081" s="1" t="s">
        <v>2637</v>
      </c>
    </row>
    <row r="1082" spans="1:8" x14ac:dyDescent="0.25">
      <c r="A1082" s="1" t="s">
        <v>934</v>
      </c>
      <c r="B1082" s="1" t="s">
        <v>935</v>
      </c>
      <c r="C1082" s="1" t="s">
        <v>936</v>
      </c>
      <c r="D1082" s="1" t="s">
        <v>937</v>
      </c>
      <c r="E1082" s="1" t="s">
        <v>2663</v>
      </c>
      <c r="F1082" s="1" t="str">
        <f>"92607    "</f>
        <v xml:space="preserve">92607    </v>
      </c>
      <c r="G1082" s="1" t="str">
        <f>"8003951616"</f>
        <v>8003951616</v>
      </c>
      <c r="H1082" s="1" t="s">
        <v>2637</v>
      </c>
    </row>
    <row r="1083" spans="1:8" x14ac:dyDescent="0.25">
      <c r="A1083" s="1" t="s">
        <v>3227</v>
      </c>
      <c r="B1083" s="1" t="s">
        <v>3228</v>
      </c>
      <c r="C1083" s="1" t="s">
        <v>3229</v>
      </c>
      <c r="D1083" s="1" t="s">
        <v>3230</v>
      </c>
      <c r="E1083" s="1" t="s">
        <v>2697</v>
      </c>
      <c r="F1083" s="1" t="str">
        <f>"152535078"</f>
        <v>152535078</v>
      </c>
      <c r="G1083" s="1" t="str">
        <f>"8002792624"</f>
        <v>8002792624</v>
      </c>
      <c r="H1083" s="1" t="s">
        <v>2637</v>
      </c>
    </row>
    <row r="1084" spans="1:8" x14ac:dyDescent="0.25">
      <c r="A1084" s="1" t="s">
        <v>1846</v>
      </c>
      <c r="B1084" s="1" t="s">
        <v>1847</v>
      </c>
      <c r="C1084" s="1" t="str">
        <f>"1111 E. HERNDON AVE  STE. 308                     "</f>
        <v xml:space="preserve">1111 E. HERNDON AVE  STE. 308                     </v>
      </c>
      <c r="D1084" s="1" t="s">
        <v>2687</v>
      </c>
      <c r="E1084" s="1" t="s">
        <v>2663</v>
      </c>
      <c r="F1084" s="1" t="str">
        <f>"93720    "</f>
        <v xml:space="preserve">93720    </v>
      </c>
      <c r="G1084" s="1" t="str">
        <f>"8664163617"</f>
        <v>8664163617</v>
      </c>
      <c r="H1084" s="1" t="s">
        <v>2637</v>
      </c>
    </row>
    <row r="1085" spans="1:8" x14ac:dyDescent="0.25">
      <c r="A1085" s="1" t="s">
        <v>2727</v>
      </c>
      <c r="B1085" s="1" t="s">
        <v>2728</v>
      </c>
      <c r="C1085" s="1" t="s">
        <v>2729</v>
      </c>
      <c r="D1085" s="1" t="s">
        <v>2730</v>
      </c>
      <c r="E1085" s="1" t="s">
        <v>2731</v>
      </c>
      <c r="F1085" s="1" t="str">
        <f>"70804    "</f>
        <v xml:space="preserve">70804    </v>
      </c>
      <c r="G1085" s="1" t="str">
        <f>"8002728451"</f>
        <v>8002728451</v>
      </c>
      <c r="H1085" s="1" t="s">
        <v>2732</v>
      </c>
    </row>
    <row r="1086" spans="1:8" x14ac:dyDescent="0.25">
      <c r="A1086" s="1" t="s">
        <v>1524</v>
      </c>
      <c r="B1086" s="1" t="s">
        <v>1525</v>
      </c>
      <c r="C1086" s="1" t="str">
        <f>"203 JANDERS ROAD                                  "</f>
        <v xml:space="preserve">203 JANDERS ROAD                                  </v>
      </c>
      <c r="D1086" s="1" t="s">
        <v>1526</v>
      </c>
      <c r="E1086" s="1" t="s">
        <v>2786</v>
      </c>
      <c r="F1086" s="1" t="str">
        <f>"60013    "</f>
        <v xml:space="preserve">60013    </v>
      </c>
      <c r="G1086" s="1" t="s">
        <v>2637</v>
      </c>
      <c r="H1086" s="1" t="s">
        <v>2735</v>
      </c>
    </row>
    <row r="1087" spans="1:8" x14ac:dyDescent="0.25">
      <c r="A1087" s="1" t="s">
        <v>653</v>
      </c>
      <c r="B1087" s="1" t="s">
        <v>654</v>
      </c>
      <c r="C1087" s="1" t="s">
        <v>655</v>
      </c>
      <c r="D1087" s="1" t="s">
        <v>100</v>
      </c>
      <c r="E1087" s="1" t="s">
        <v>3118</v>
      </c>
      <c r="F1087" s="1" t="str">
        <f>"02471    "</f>
        <v xml:space="preserve">02471    </v>
      </c>
      <c r="G1087" s="1" t="str">
        <f>"8004238080"</f>
        <v>8004238080</v>
      </c>
      <c r="H1087" s="1" t="s">
        <v>2637</v>
      </c>
    </row>
    <row r="1088" spans="1:8" x14ac:dyDescent="0.25">
      <c r="A1088" s="1" t="s">
        <v>1399</v>
      </c>
      <c r="B1088" s="1" t="s">
        <v>1400</v>
      </c>
      <c r="C1088" s="1" t="s">
        <v>1401</v>
      </c>
      <c r="D1088" s="1" t="s">
        <v>2901</v>
      </c>
      <c r="E1088" s="1" t="s">
        <v>2902</v>
      </c>
      <c r="F1088" s="1" t="str">
        <f>"55459    "</f>
        <v xml:space="preserve">55459    </v>
      </c>
      <c r="G1088" s="1" t="str">
        <f>"8009971750"</f>
        <v>8009971750</v>
      </c>
      <c r="H1088" s="1" t="s">
        <v>2637</v>
      </c>
    </row>
    <row r="1089" spans="1:8" x14ac:dyDescent="0.25">
      <c r="A1089" s="1" t="s">
        <v>525</v>
      </c>
      <c r="B1089" s="1" t="s">
        <v>526</v>
      </c>
      <c r="C1089" s="1" t="s">
        <v>527</v>
      </c>
      <c r="D1089" s="1" t="s">
        <v>528</v>
      </c>
      <c r="E1089" s="1" t="s">
        <v>2786</v>
      </c>
      <c r="F1089" s="1" t="str">
        <f>"616036003"</f>
        <v>616036003</v>
      </c>
      <c r="G1089" s="1" t="str">
        <f>"8003227451"</f>
        <v>8003227451</v>
      </c>
      <c r="H1089" s="1" t="s">
        <v>2637</v>
      </c>
    </row>
    <row r="1090" spans="1:8" x14ac:dyDescent="0.25">
      <c r="A1090" s="1" t="s">
        <v>2723</v>
      </c>
      <c r="B1090" s="1" t="s">
        <v>2724</v>
      </c>
      <c r="C1090" s="1" t="s">
        <v>2725</v>
      </c>
      <c r="D1090" s="1" t="s">
        <v>2726</v>
      </c>
      <c r="E1090" s="1" t="s">
        <v>2647</v>
      </c>
      <c r="F1090" s="1" t="str">
        <f>"21702    "</f>
        <v xml:space="preserve">21702    </v>
      </c>
      <c r="G1090" s="1" t="str">
        <f>"8004974474"</f>
        <v>8004974474</v>
      </c>
      <c r="H1090" s="1" t="s">
        <v>2637</v>
      </c>
    </row>
    <row r="1091" spans="1:8" x14ac:dyDescent="0.25">
      <c r="A1091" s="1" t="s">
        <v>623</v>
      </c>
      <c r="B1091" s="1" t="s">
        <v>624</v>
      </c>
      <c r="C1091" s="1" t="s">
        <v>625</v>
      </c>
      <c r="D1091" s="1" t="s">
        <v>3070</v>
      </c>
      <c r="E1091" s="1" t="s">
        <v>2714</v>
      </c>
      <c r="F1091" s="1" t="str">
        <f>"45201    "</f>
        <v xml:space="preserve">45201    </v>
      </c>
      <c r="G1091" s="1" t="str">
        <f>"5136291800"</f>
        <v>5136291800</v>
      </c>
      <c r="H1091" s="1" t="s">
        <v>2637</v>
      </c>
    </row>
    <row r="1092" spans="1:8" x14ac:dyDescent="0.25">
      <c r="A1092" s="1" t="s">
        <v>2493</v>
      </c>
      <c r="B1092" s="1" t="s">
        <v>2494</v>
      </c>
      <c r="C1092" s="1" t="s">
        <v>2495</v>
      </c>
      <c r="D1092" s="1" t="s">
        <v>2074</v>
      </c>
      <c r="E1092" s="1" t="s">
        <v>2636</v>
      </c>
      <c r="F1092" s="1" t="str">
        <f>"75093    "</f>
        <v xml:space="preserve">75093    </v>
      </c>
      <c r="G1092" s="1" t="str">
        <f>"8888797996"</f>
        <v>8888797996</v>
      </c>
      <c r="H1092" s="1" t="s">
        <v>2637</v>
      </c>
    </row>
    <row r="1093" spans="1:8" x14ac:dyDescent="0.25">
      <c r="A1093" s="1" t="s">
        <v>626</v>
      </c>
      <c r="B1093" s="1" t="s">
        <v>627</v>
      </c>
      <c r="C1093" s="1" t="str">
        <f>"1205 WINDHAM PARKWAY                              "</f>
        <v xml:space="preserve">1205 WINDHAM PARKWAY                              </v>
      </c>
      <c r="D1093" s="1" t="s">
        <v>628</v>
      </c>
      <c r="E1093" s="1" t="s">
        <v>2786</v>
      </c>
      <c r="F1093" s="1" t="str">
        <f>"60446    "</f>
        <v xml:space="preserve">60446    </v>
      </c>
      <c r="G1093" s="1" t="str">
        <f>"8008070400"</f>
        <v>8008070400</v>
      </c>
      <c r="H1093" s="1" t="s">
        <v>2637</v>
      </c>
    </row>
    <row r="1094" spans="1:8" x14ac:dyDescent="0.25">
      <c r="A1094" s="1" t="s">
        <v>177</v>
      </c>
      <c r="B1094" s="1" t="s">
        <v>178</v>
      </c>
      <c r="C1094" s="1" t="s">
        <v>179</v>
      </c>
      <c r="D1094" s="1" t="s">
        <v>1206</v>
      </c>
      <c r="E1094" s="1" t="s">
        <v>2714</v>
      </c>
      <c r="F1094" s="1" t="str">
        <f>"45402    "</f>
        <v xml:space="preserve">45402    </v>
      </c>
      <c r="G1094" s="1" t="str">
        <f>"8004880134"</f>
        <v>8004880134</v>
      </c>
      <c r="H1094" s="1" t="s">
        <v>2637</v>
      </c>
    </row>
    <row r="1095" spans="1:8" x14ac:dyDescent="0.25">
      <c r="A1095" s="1" t="s">
        <v>1574</v>
      </c>
      <c r="B1095" s="1" t="s">
        <v>1575</v>
      </c>
      <c r="C1095" s="1" t="s">
        <v>1470</v>
      </c>
      <c r="D1095" s="1" t="s">
        <v>2687</v>
      </c>
      <c r="E1095" s="1" t="s">
        <v>2663</v>
      </c>
      <c r="F1095" s="1" t="str">
        <f>"937478082"</f>
        <v>937478082</v>
      </c>
      <c r="G1095" s="1" t="str">
        <f>"2092514891"</f>
        <v>2092514891</v>
      </c>
      <c r="H1095" s="1" t="s">
        <v>2688</v>
      </c>
    </row>
    <row r="1096" spans="1:8" x14ac:dyDescent="0.25">
      <c r="A1096" s="1" t="s">
        <v>2410</v>
      </c>
      <c r="B1096" s="1" t="s">
        <v>2411</v>
      </c>
      <c r="C1096" s="1" t="s">
        <v>2412</v>
      </c>
      <c r="D1096" s="1" t="s">
        <v>2413</v>
      </c>
      <c r="E1096" s="1" t="s">
        <v>2636</v>
      </c>
      <c r="F1096" s="1" t="str">
        <f>"76006    "</f>
        <v xml:space="preserve">76006    </v>
      </c>
      <c r="G1096" s="1" t="str">
        <f>"8884113888"</f>
        <v>8884113888</v>
      </c>
      <c r="H1096" s="1" t="s">
        <v>2637</v>
      </c>
    </row>
    <row r="1097" spans="1:8" x14ac:dyDescent="0.25">
      <c r="A1097" s="1" t="s">
        <v>651</v>
      </c>
      <c r="B1097" s="1" t="s">
        <v>652</v>
      </c>
      <c r="C1097" s="1" t="s">
        <v>2551</v>
      </c>
      <c r="D1097" s="1" t="s">
        <v>2710</v>
      </c>
      <c r="E1097" s="1" t="s">
        <v>2660</v>
      </c>
      <c r="F1097" s="1" t="str">
        <f>"29606    "</f>
        <v xml:space="preserve">29606    </v>
      </c>
      <c r="G1097" s="1" t="str">
        <f>"8004765150"</f>
        <v>8004765150</v>
      </c>
      <c r="H1097" s="1" t="s">
        <v>2735</v>
      </c>
    </row>
    <row r="1098" spans="1:8" x14ac:dyDescent="0.25">
      <c r="A1098" s="1" t="s">
        <v>276</v>
      </c>
      <c r="B1098" s="1" t="s">
        <v>277</v>
      </c>
      <c r="C1098" s="1" t="s">
        <v>2216</v>
      </c>
      <c r="D1098" s="1" t="s">
        <v>3188</v>
      </c>
      <c r="E1098" s="1" t="s">
        <v>2832</v>
      </c>
      <c r="F1098" s="1" t="str">
        <f>"32591    "</f>
        <v xml:space="preserve">32591    </v>
      </c>
      <c r="G1098" s="1" t="str">
        <f>"8006357418"</f>
        <v>8006357418</v>
      </c>
      <c r="H1098" s="1" t="s">
        <v>2637</v>
      </c>
    </row>
    <row r="1099" spans="1:8" x14ac:dyDescent="0.25">
      <c r="A1099" s="1" t="s">
        <v>2132</v>
      </c>
      <c r="B1099" s="1" t="s">
        <v>2133</v>
      </c>
      <c r="C1099" s="1" t="s">
        <v>2134</v>
      </c>
      <c r="D1099" s="1" t="s">
        <v>3095</v>
      </c>
      <c r="E1099" s="1" t="s">
        <v>2749</v>
      </c>
      <c r="F1099" s="1" t="str">
        <f>"662255951"</f>
        <v>662255951</v>
      </c>
      <c r="G1099" s="1" t="str">
        <f>"8003741835"</f>
        <v>8003741835</v>
      </c>
      <c r="H1099" s="1" t="s">
        <v>2637</v>
      </c>
    </row>
    <row r="1100" spans="1:8" x14ac:dyDescent="0.25">
      <c r="A1100" s="1" t="s">
        <v>1580</v>
      </c>
      <c r="B1100" s="1" t="s">
        <v>1581</v>
      </c>
      <c r="C1100" s="1" t="s">
        <v>1582</v>
      </c>
      <c r="D1100" s="1" t="s">
        <v>3188</v>
      </c>
      <c r="E1100" s="1" t="s">
        <v>2832</v>
      </c>
      <c r="F1100" s="1" t="str">
        <f>"32591    "</f>
        <v xml:space="preserve">32591    </v>
      </c>
      <c r="G1100" s="1" t="str">
        <f>"8005381053"</f>
        <v>8005381053</v>
      </c>
      <c r="H1100" s="1" t="s">
        <v>2637</v>
      </c>
    </row>
    <row r="1101" spans="1:8" x14ac:dyDescent="0.25">
      <c r="A1101" s="1" t="s">
        <v>1754</v>
      </c>
      <c r="B1101" s="1" t="s">
        <v>1755</v>
      </c>
      <c r="C1101" s="1" t="s">
        <v>1756</v>
      </c>
      <c r="D1101" s="1" t="s">
        <v>2871</v>
      </c>
      <c r="E1101" s="1" t="s">
        <v>2636</v>
      </c>
      <c r="F1101" s="1" t="str">
        <f>"75374    "</f>
        <v xml:space="preserve">75374    </v>
      </c>
      <c r="G1101" s="1" t="str">
        <f>"8662063224"</f>
        <v>8662063224</v>
      </c>
      <c r="H1101" s="1" t="s">
        <v>2637</v>
      </c>
    </row>
    <row r="1102" spans="1:8" x14ac:dyDescent="0.25">
      <c r="A1102" s="1" t="s">
        <v>217</v>
      </c>
      <c r="B1102" s="1" t="s">
        <v>218</v>
      </c>
      <c r="C1102" s="1" t="s">
        <v>219</v>
      </c>
      <c r="D1102" s="1" t="s">
        <v>2701</v>
      </c>
      <c r="E1102" s="1" t="s">
        <v>2660</v>
      </c>
      <c r="F1102" s="1" t="str">
        <f>"29202    "</f>
        <v xml:space="preserve">29202    </v>
      </c>
      <c r="G1102" s="1" t="str">
        <f>"8037721783"</f>
        <v>8037721783</v>
      </c>
      <c r="H1102" s="1" t="s">
        <v>2688</v>
      </c>
    </row>
    <row r="1103" spans="1:8" x14ac:dyDescent="0.25">
      <c r="A1103" s="1" t="s">
        <v>1811</v>
      </c>
      <c r="B1103" s="1" t="s">
        <v>1812</v>
      </c>
      <c r="C1103" s="1" t="str">
        <f>"6300 BRIDGEPOINT PKWAY, BLDG 3 #400               "</f>
        <v xml:space="preserve">6300 BRIDGEPOINT PKWAY, BLDG 3 #400               </v>
      </c>
      <c r="D1103" s="1" t="s">
        <v>2805</v>
      </c>
      <c r="E1103" s="1" t="s">
        <v>2636</v>
      </c>
      <c r="F1103" s="1" t="str">
        <f>"78730    "</f>
        <v xml:space="preserve">78730    </v>
      </c>
      <c r="G1103" s="1" t="str">
        <f>"8883687910"</f>
        <v>8883687910</v>
      </c>
      <c r="H1103" s="1" t="s">
        <v>2637</v>
      </c>
    </row>
    <row r="1104" spans="1:8" x14ac:dyDescent="0.25">
      <c r="A1104" s="1" t="s">
        <v>1522</v>
      </c>
      <c r="B1104" s="1" t="s">
        <v>1523</v>
      </c>
      <c r="C1104" s="1" t="s">
        <v>2073</v>
      </c>
      <c r="D1104" s="1" t="s">
        <v>2074</v>
      </c>
      <c r="E1104" s="1" t="s">
        <v>2636</v>
      </c>
      <c r="F1104" s="1" t="str">
        <f>"75025    "</f>
        <v xml:space="preserve">75025    </v>
      </c>
      <c r="G1104" s="1" t="str">
        <f>"8009695238"</f>
        <v>8009695238</v>
      </c>
      <c r="H1104" s="1" t="s">
        <v>2637</v>
      </c>
    </row>
    <row r="1105" spans="1:8" x14ac:dyDescent="0.25">
      <c r="A1105" s="1" t="s">
        <v>3027</v>
      </c>
      <c r="B1105" s="1" t="s">
        <v>3028</v>
      </c>
      <c r="C1105" s="1" t="str">
        <f>"2075 W BIG BEAVER STE 700                         "</f>
        <v xml:space="preserve">2075 W BIG BEAVER STE 700                         </v>
      </c>
      <c r="D1105" s="1" t="s">
        <v>3029</v>
      </c>
      <c r="E1105" s="1" t="s">
        <v>2644</v>
      </c>
      <c r="F1105" s="1" t="str">
        <f>"48084    "</f>
        <v xml:space="preserve">48084    </v>
      </c>
      <c r="G1105" s="1" t="str">
        <f>"2488227044"</f>
        <v>2488227044</v>
      </c>
      <c r="H1105" s="1" t="s">
        <v>2760</v>
      </c>
    </row>
    <row r="1106" spans="1:8" x14ac:dyDescent="0.25">
      <c r="A1106" s="1" t="s">
        <v>2903</v>
      </c>
      <c r="B1106" s="1" t="s">
        <v>2904</v>
      </c>
      <c r="C1106" s="1" t="s">
        <v>2905</v>
      </c>
      <c r="D1106" s="1" t="s">
        <v>2906</v>
      </c>
      <c r="E1106" s="1" t="s">
        <v>2677</v>
      </c>
      <c r="F1106" s="1" t="str">
        <f>"28224    "</f>
        <v xml:space="preserve">28224    </v>
      </c>
      <c r="G1106" s="1" t="str">
        <f>"8888367764"</f>
        <v>8888367764</v>
      </c>
      <c r="H1106" s="1" t="s">
        <v>2637</v>
      </c>
    </row>
    <row r="1107" spans="1:8" x14ac:dyDescent="0.25">
      <c r="A1107" s="1" t="s">
        <v>1746</v>
      </c>
      <c r="B1107" s="1" t="s">
        <v>1747</v>
      </c>
      <c r="C1107" s="1" t="s">
        <v>1748</v>
      </c>
      <c r="D1107" s="1" t="s">
        <v>2673</v>
      </c>
      <c r="E1107" s="1" t="s">
        <v>2674</v>
      </c>
      <c r="F1107" s="1" t="str">
        <f>"84145    "</f>
        <v xml:space="preserve">84145    </v>
      </c>
      <c r="G1107" s="1" t="str">
        <f>"8007771647"</f>
        <v>8007771647</v>
      </c>
      <c r="H1107" s="1" t="s">
        <v>2760</v>
      </c>
    </row>
    <row r="1108" spans="1:8" x14ac:dyDescent="0.25">
      <c r="A1108" s="1" t="s">
        <v>1319</v>
      </c>
      <c r="B1108" s="1" t="s">
        <v>1320</v>
      </c>
      <c r="C1108" s="1" t="s">
        <v>1321</v>
      </c>
      <c r="D1108" s="1" t="s">
        <v>2502</v>
      </c>
      <c r="E1108" s="1" t="s">
        <v>2989</v>
      </c>
      <c r="F1108" s="1" t="str">
        <f>"83707    "</f>
        <v xml:space="preserve">83707    </v>
      </c>
      <c r="G1108" s="1" t="str">
        <f>"8007867930"</f>
        <v>8007867930</v>
      </c>
      <c r="H1108" s="1" t="s">
        <v>2637</v>
      </c>
    </row>
    <row r="1109" spans="1:8" x14ac:dyDescent="0.25">
      <c r="A1109" s="1" t="s">
        <v>2030</v>
      </c>
      <c r="B1109" s="1" t="s">
        <v>2031</v>
      </c>
      <c r="C1109" s="1" t="str">
        <f>"19450 DEERFIELD AVE. STE. 400                     "</f>
        <v xml:space="preserve">19450 DEERFIELD AVE. STE. 400                     </v>
      </c>
      <c r="D1109" s="1" t="s">
        <v>2032</v>
      </c>
      <c r="E1109" s="1" t="s">
        <v>3164</v>
      </c>
      <c r="F1109" s="1" t="str">
        <f>"20176    "</f>
        <v xml:space="preserve">20176    </v>
      </c>
      <c r="G1109" s="1" t="str">
        <f>"8008416188"</f>
        <v>8008416188</v>
      </c>
      <c r="H1109" s="1" t="s">
        <v>2760</v>
      </c>
    </row>
    <row r="1110" spans="1:8" x14ac:dyDescent="0.25">
      <c r="A1110" s="1" t="s">
        <v>1712</v>
      </c>
      <c r="B1110" s="1" t="s">
        <v>1713</v>
      </c>
      <c r="C1110" s="1" t="s">
        <v>1714</v>
      </c>
      <c r="D1110" s="1" t="s">
        <v>2016</v>
      </c>
      <c r="E1110" s="1" t="s">
        <v>2786</v>
      </c>
      <c r="F1110" s="1" t="str">
        <f>"61132    "</f>
        <v xml:space="preserve">61132    </v>
      </c>
      <c r="G1110" s="1" t="str">
        <f>"8156335800"</f>
        <v>8156335800</v>
      </c>
      <c r="H1110" s="1" t="s">
        <v>2760</v>
      </c>
    </row>
    <row r="1111" spans="1:8" x14ac:dyDescent="0.25">
      <c r="A1111" s="1" t="s">
        <v>1385</v>
      </c>
      <c r="B1111" s="1" t="s">
        <v>1386</v>
      </c>
      <c r="C1111" s="1" t="s">
        <v>1387</v>
      </c>
      <c r="D1111" s="1" t="s">
        <v>1388</v>
      </c>
      <c r="E1111" s="1" t="s">
        <v>2681</v>
      </c>
      <c r="F1111" s="1" t="str">
        <f>"31709    "</f>
        <v xml:space="preserve">31709    </v>
      </c>
      <c r="G1111" s="1" t="str">
        <f>"8008417735"</f>
        <v>8008417735</v>
      </c>
      <c r="H1111" s="1" t="s">
        <v>1389</v>
      </c>
    </row>
    <row r="1112" spans="1:8" x14ac:dyDescent="0.25">
      <c r="A1112" s="1" t="s">
        <v>2489</v>
      </c>
      <c r="B1112" s="1" t="s">
        <v>2490</v>
      </c>
      <c r="C1112" s="1" t="s">
        <v>2491</v>
      </c>
      <c r="D1112" s="1" t="s">
        <v>2492</v>
      </c>
      <c r="E1112" s="1" t="s">
        <v>2677</v>
      </c>
      <c r="F1112" s="1" t="str">
        <f>"28106    "</f>
        <v xml:space="preserve">28106    </v>
      </c>
      <c r="G1112" s="1" t="str">
        <f>"7048455608"</f>
        <v>7048455608</v>
      </c>
      <c r="H1112" s="1" t="s">
        <v>2637</v>
      </c>
    </row>
    <row r="1113" spans="1:8" x14ac:dyDescent="0.25">
      <c r="A1113" s="1" t="s">
        <v>1848</v>
      </c>
      <c r="B1113" s="1" t="s">
        <v>2490</v>
      </c>
      <c r="C1113" s="1" t="s">
        <v>1849</v>
      </c>
      <c r="D1113" s="1" t="s">
        <v>2492</v>
      </c>
      <c r="E1113" s="1" t="s">
        <v>2677</v>
      </c>
      <c r="F1113" s="1" t="str">
        <f>"28106    "</f>
        <v xml:space="preserve">28106    </v>
      </c>
      <c r="G1113" s="1" t="str">
        <f>"7048455608"</f>
        <v>7048455608</v>
      </c>
      <c r="H1113" s="1" t="s">
        <v>2637</v>
      </c>
    </row>
    <row r="1114" spans="1:8" x14ac:dyDescent="0.25">
      <c r="A1114" s="1" t="s">
        <v>1949</v>
      </c>
      <c r="B1114" s="1" t="s">
        <v>1950</v>
      </c>
      <c r="C1114" s="1" t="str">
        <f>"8310 CLINTON PARK DR                              "</f>
        <v xml:space="preserve">8310 CLINTON PARK DR                              </v>
      </c>
      <c r="D1114" s="1" t="s">
        <v>1476</v>
      </c>
      <c r="E1114" s="1" t="s">
        <v>2706</v>
      </c>
      <c r="F1114" s="1" t="str">
        <f>"46825    "</f>
        <v xml:space="preserve">46825    </v>
      </c>
      <c r="G1114" s="1" t="str">
        <f>"8008377400"</f>
        <v>8008377400</v>
      </c>
      <c r="H1114" s="1" t="s">
        <v>2760</v>
      </c>
    </row>
    <row r="1115" spans="1:8" x14ac:dyDescent="0.25">
      <c r="A1115" s="1" t="s">
        <v>1859</v>
      </c>
      <c r="B1115" s="1" t="s">
        <v>1860</v>
      </c>
      <c r="C1115" s="1" t="str">
        <f>"17800 ROYALTON RD.                                "</f>
        <v xml:space="preserve">17800 ROYALTON RD.                                </v>
      </c>
      <c r="D1115" s="1" t="s">
        <v>1861</v>
      </c>
      <c r="E1115" s="1" t="s">
        <v>2714</v>
      </c>
      <c r="F1115" s="1" t="str">
        <f>"441365197"</f>
        <v>441365197</v>
      </c>
      <c r="G1115" s="1" t="str">
        <f>"8003213997"</f>
        <v>8003213997</v>
      </c>
      <c r="H1115" s="1" t="s">
        <v>2637</v>
      </c>
    </row>
    <row r="1116" spans="1:8" x14ac:dyDescent="0.25">
      <c r="A1116" s="1" t="s">
        <v>1351</v>
      </c>
      <c r="B1116" s="1" t="s">
        <v>1352</v>
      </c>
      <c r="C1116" s="1" t="s">
        <v>1353</v>
      </c>
      <c r="D1116" s="1" t="s">
        <v>1354</v>
      </c>
      <c r="E1116" s="1" t="s">
        <v>2660</v>
      </c>
      <c r="F1116" s="1" t="str">
        <f>"29488    "</f>
        <v xml:space="preserve">29488    </v>
      </c>
      <c r="G1116" s="1" t="str">
        <f>"8435382876"</f>
        <v>8435382876</v>
      </c>
      <c r="H1116" s="1" t="s">
        <v>2735</v>
      </c>
    </row>
    <row r="1117" spans="1:8" x14ac:dyDescent="0.25">
      <c r="A1117" s="1" t="s">
        <v>1705</v>
      </c>
      <c r="B1117" s="1" t="s">
        <v>1706</v>
      </c>
      <c r="C1117" s="1" t="s">
        <v>1707</v>
      </c>
      <c r="D1117" s="1" t="s">
        <v>2808</v>
      </c>
      <c r="E1117" s="1" t="s">
        <v>2809</v>
      </c>
      <c r="F1117" s="1" t="str">
        <f>"850722196"</f>
        <v>850722196</v>
      </c>
      <c r="G1117" s="1" t="str">
        <f>"4803914600"</f>
        <v>4803914600</v>
      </c>
      <c r="H1117" s="1" t="s">
        <v>1708</v>
      </c>
    </row>
    <row r="1118" spans="1:8" x14ac:dyDescent="0.25">
      <c r="A1118" s="1" t="s">
        <v>2698</v>
      </c>
      <c r="B1118" s="1" t="s">
        <v>2699</v>
      </c>
      <c r="C1118" s="1" t="s">
        <v>2700</v>
      </c>
      <c r="D1118" s="1" t="s">
        <v>2701</v>
      </c>
      <c r="E1118" s="1" t="s">
        <v>2660</v>
      </c>
      <c r="F1118" s="1" t="str">
        <f>"29224    "</f>
        <v xml:space="preserve">29224    </v>
      </c>
      <c r="G1118" s="1" t="str">
        <f>"8037365088"</f>
        <v>8037365088</v>
      </c>
      <c r="H1118" s="1" t="s">
        <v>2637</v>
      </c>
    </row>
    <row r="1119" spans="1:8" x14ac:dyDescent="0.25">
      <c r="A1119" s="1" t="s">
        <v>1299</v>
      </c>
      <c r="B1119" s="1" t="s">
        <v>1300</v>
      </c>
      <c r="C1119" s="1" t="str">
        <f>"110 GIBRALTAR ROAD                                "</f>
        <v xml:space="preserve">110 GIBRALTAR ROAD                                </v>
      </c>
      <c r="D1119" s="1" t="s">
        <v>1952</v>
      </c>
      <c r="E1119" s="1" t="s">
        <v>2697</v>
      </c>
      <c r="F1119" s="1" t="str">
        <f>"19044    "</f>
        <v xml:space="preserve">19044    </v>
      </c>
      <c r="G1119" s="1" t="str">
        <f>"2154430404"</f>
        <v>2154430404</v>
      </c>
      <c r="H1119" s="1" t="s">
        <v>2637</v>
      </c>
    </row>
    <row r="1120" spans="1:8" x14ac:dyDescent="0.25">
      <c r="A1120" s="1" t="s">
        <v>2503</v>
      </c>
      <c r="B1120" s="1" t="s">
        <v>2504</v>
      </c>
      <c r="C1120" s="1" t="s">
        <v>2505</v>
      </c>
      <c r="D1120" s="1" t="s">
        <v>2506</v>
      </c>
      <c r="E1120" s="1" t="s">
        <v>2832</v>
      </c>
      <c r="F1120" s="1" t="str">
        <f>"34656    "</f>
        <v xml:space="preserve">34656    </v>
      </c>
      <c r="G1120" s="1" t="str">
        <f>"8008814474"</f>
        <v>8008814474</v>
      </c>
      <c r="H1120" s="1" t="s">
        <v>2760</v>
      </c>
    </row>
    <row r="1121" spans="1:8" x14ac:dyDescent="0.25">
      <c r="A1121" s="1" t="s">
        <v>2907</v>
      </c>
      <c r="B1121" s="1" t="s">
        <v>2908</v>
      </c>
      <c r="C1121" s="1" t="s">
        <v>2909</v>
      </c>
      <c r="D1121" s="1" t="s">
        <v>2910</v>
      </c>
      <c r="E1121" s="1" t="s">
        <v>2681</v>
      </c>
      <c r="F1121" s="1" t="str">
        <f>"31758    "</f>
        <v xml:space="preserve">31758    </v>
      </c>
      <c r="G1121" s="1" t="str">
        <f>"8883525246"</f>
        <v>8883525246</v>
      </c>
      <c r="H1121" s="1" t="s">
        <v>2760</v>
      </c>
    </row>
    <row r="1122" spans="1:8" x14ac:dyDescent="0.25">
      <c r="A1122" s="1" t="s">
        <v>771</v>
      </c>
      <c r="B1122" s="1" t="s">
        <v>772</v>
      </c>
      <c r="C1122" s="1" t="s">
        <v>773</v>
      </c>
      <c r="D1122" s="1" t="s">
        <v>774</v>
      </c>
      <c r="E1122" s="1" t="s">
        <v>2663</v>
      </c>
      <c r="F1122" s="1" t="str">
        <f>"915107830"</f>
        <v>915107830</v>
      </c>
      <c r="G1122" s="1" t="str">
        <f>"8007774013"</f>
        <v>8007774013</v>
      </c>
      <c r="H1122" s="1" t="s">
        <v>2760</v>
      </c>
    </row>
    <row r="1123" spans="1:8" x14ac:dyDescent="0.25">
      <c r="A1123" s="1" t="s">
        <v>1397</v>
      </c>
      <c r="B1123" s="1" t="s">
        <v>1398</v>
      </c>
      <c r="C1123" s="1" t="str">
        <f>"120 ROYALL STREET                                 "</f>
        <v xml:space="preserve">120 ROYALL STREET                                 </v>
      </c>
      <c r="D1123" s="1" t="s">
        <v>2246</v>
      </c>
      <c r="E1123" s="1" t="s">
        <v>3118</v>
      </c>
      <c r="F1123" s="1" t="str">
        <f>"02021    "</f>
        <v xml:space="preserve">02021    </v>
      </c>
      <c r="G1123" s="1" t="str">
        <f>"6178287000"</f>
        <v>6178287000</v>
      </c>
      <c r="H1123" s="1" t="s">
        <v>2637</v>
      </c>
    </row>
    <row r="1124" spans="1:8" x14ac:dyDescent="0.25">
      <c r="A1124" s="1" t="s">
        <v>336</v>
      </c>
      <c r="B1124" s="1" t="s">
        <v>2637</v>
      </c>
      <c r="C1124" s="1" t="s">
        <v>2637</v>
      </c>
      <c r="D1124" s="1" t="s">
        <v>2637</v>
      </c>
      <c r="E1124" s="1" t="s">
        <v>2637</v>
      </c>
      <c r="F1124" s="1" t="s">
        <v>2637</v>
      </c>
      <c r="G1124" s="1" t="s">
        <v>2637</v>
      </c>
      <c r="H1124" s="1" t="s">
        <v>2637</v>
      </c>
    </row>
    <row r="1125" spans="1:8" x14ac:dyDescent="0.25">
      <c r="A1125" s="1" t="s">
        <v>375</v>
      </c>
      <c r="B1125" s="1" t="s">
        <v>376</v>
      </c>
      <c r="C1125" s="1" t="str">
        <f>"6000 WEST TOWN PARKWAY STE 350                    "</f>
        <v xml:space="preserve">6000 WEST TOWN PARKWAY STE 350                    </v>
      </c>
      <c r="D1125" s="1" t="s">
        <v>2442</v>
      </c>
      <c r="E1125" s="1" t="s">
        <v>3264</v>
      </c>
      <c r="F1125" s="1" t="str">
        <f>"50266    "</f>
        <v xml:space="preserve">50266    </v>
      </c>
      <c r="G1125" s="1" t="str">
        <f>"8005113389"</f>
        <v>8005113389</v>
      </c>
      <c r="H1125" s="1" t="s">
        <v>2637</v>
      </c>
    </row>
    <row r="1126" spans="1:8" x14ac:dyDescent="0.25">
      <c r="A1126" s="1" t="s">
        <v>1124</v>
      </c>
      <c r="B1126" s="1" t="s">
        <v>1125</v>
      </c>
      <c r="C1126" s="1" t="str">
        <f>"1 WALL ST. STE 2A                                 "</f>
        <v xml:space="preserve">1 WALL ST. STE 2A                                 </v>
      </c>
      <c r="D1126" s="1" t="s">
        <v>1126</v>
      </c>
      <c r="E1126" s="1" t="s">
        <v>3014</v>
      </c>
      <c r="F1126" s="1" t="str">
        <f>"26164    "</f>
        <v xml:space="preserve">26164    </v>
      </c>
      <c r="G1126" s="1" t="str">
        <f>"8882250522"</f>
        <v>8882250522</v>
      </c>
      <c r="H1126" s="1" t="s">
        <v>2637</v>
      </c>
    </row>
    <row r="1127" spans="1:8" x14ac:dyDescent="0.25">
      <c r="A1127" s="1" t="s">
        <v>1233</v>
      </c>
      <c r="B1127" s="1" t="s">
        <v>1234</v>
      </c>
      <c r="C1127" s="1" t="s">
        <v>1235</v>
      </c>
      <c r="D1127" s="1" t="s">
        <v>2067</v>
      </c>
      <c r="E1127" s="1" t="s">
        <v>2677</v>
      </c>
      <c r="F1127" s="1" t="str">
        <f>"27619    "</f>
        <v xml:space="preserve">27619    </v>
      </c>
      <c r="G1127" s="1" t="str">
        <f>"9198468400"</f>
        <v>9198468400</v>
      </c>
      <c r="H1127" s="1" t="s">
        <v>2637</v>
      </c>
    </row>
    <row r="1128" spans="1:8" x14ac:dyDescent="0.25">
      <c r="A1128" s="1" t="s">
        <v>1993</v>
      </c>
      <c r="B1128" s="1" t="s">
        <v>1994</v>
      </c>
      <c r="C1128" s="1" t="s">
        <v>721</v>
      </c>
      <c r="D1128" s="1" t="s">
        <v>3163</v>
      </c>
      <c r="E1128" s="1" t="s">
        <v>2667</v>
      </c>
      <c r="F1128" s="1" t="str">
        <f>"54806    "</f>
        <v xml:space="preserve">54806    </v>
      </c>
      <c r="G1128" s="1" t="str">
        <f>"8004973699"</f>
        <v>8004973699</v>
      </c>
      <c r="H1128" s="1" t="s">
        <v>2637</v>
      </c>
    </row>
    <row r="1129" spans="1:8" x14ac:dyDescent="0.25">
      <c r="A1129" s="1" t="s">
        <v>247</v>
      </c>
      <c r="B1129" s="1" t="s">
        <v>1994</v>
      </c>
      <c r="C1129" s="1" t="s">
        <v>721</v>
      </c>
      <c r="D1129" s="1" t="s">
        <v>3163</v>
      </c>
      <c r="E1129" s="1" t="s">
        <v>2667</v>
      </c>
      <c r="F1129" s="1" t="str">
        <f>"54806    "</f>
        <v xml:space="preserve">54806    </v>
      </c>
      <c r="G1129" s="1" t="str">
        <f>"8004973699"</f>
        <v>8004973699</v>
      </c>
      <c r="H1129" s="1" t="s">
        <v>2637</v>
      </c>
    </row>
    <row r="1130" spans="1:8" x14ac:dyDescent="0.25">
      <c r="A1130" s="1" t="s">
        <v>904</v>
      </c>
      <c r="B1130" s="1" t="s">
        <v>905</v>
      </c>
      <c r="C1130" s="1" t="s">
        <v>906</v>
      </c>
      <c r="D1130" s="1" t="s">
        <v>907</v>
      </c>
      <c r="E1130" s="1" t="s">
        <v>3118</v>
      </c>
      <c r="F1130" s="1" t="str">
        <f>"02370    "</f>
        <v xml:space="preserve">02370    </v>
      </c>
      <c r="G1130" s="1" t="str">
        <f>"8776427500"</f>
        <v>8776427500</v>
      </c>
      <c r="H1130" s="1" t="s">
        <v>2637</v>
      </c>
    </row>
    <row r="1131" spans="1:8" x14ac:dyDescent="0.25">
      <c r="A1131" s="1" t="s">
        <v>2071</v>
      </c>
      <c r="B1131" s="1" t="s">
        <v>2072</v>
      </c>
      <c r="C1131" s="1" t="s">
        <v>2073</v>
      </c>
      <c r="D1131" s="1" t="s">
        <v>2074</v>
      </c>
      <c r="E1131" s="1" t="s">
        <v>2636</v>
      </c>
      <c r="F1131" s="1" t="str">
        <f>"75025    "</f>
        <v xml:space="preserve">75025    </v>
      </c>
      <c r="G1131" s="1" t="str">
        <f>"8002519665"</f>
        <v>8002519665</v>
      </c>
      <c r="H1131" s="1" t="s">
        <v>2075</v>
      </c>
    </row>
    <row r="1132" spans="1:8" x14ac:dyDescent="0.25">
      <c r="A1132" s="1" t="s">
        <v>2756</v>
      </c>
      <c r="B1132" s="1" t="s">
        <v>2757</v>
      </c>
      <c r="C1132" s="1" t="s">
        <v>2758</v>
      </c>
      <c r="D1132" s="1" t="s">
        <v>2759</v>
      </c>
      <c r="E1132" s="1" t="s">
        <v>2663</v>
      </c>
      <c r="F1132" s="1" t="str">
        <f>"90510    "</f>
        <v xml:space="preserve">90510    </v>
      </c>
      <c r="G1132" s="1" t="str">
        <f>"8006533626"</f>
        <v>8006533626</v>
      </c>
      <c r="H1132" s="1" t="s">
        <v>2760</v>
      </c>
    </row>
    <row r="1133" spans="1:8" x14ac:dyDescent="0.25">
      <c r="A1133" s="1" t="s">
        <v>856</v>
      </c>
      <c r="B1133" s="1" t="s">
        <v>857</v>
      </c>
      <c r="C1133" s="1" t="s">
        <v>858</v>
      </c>
      <c r="D1133" s="1" t="s">
        <v>2616</v>
      </c>
      <c r="E1133" s="1" t="s">
        <v>2660</v>
      </c>
      <c r="F1133" s="1" t="str">
        <f>"29304    "</f>
        <v xml:space="preserve">29304    </v>
      </c>
      <c r="G1133" s="1" t="str">
        <f>"8645739541"</f>
        <v>8645739541</v>
      </c>
      <c r="H1133" s="1" t="s">
        <v>859</v>
      </c>
    </row>
    <row r="1134" spans="1:8" x14ac:dyDescent="0.25">
      <c r="A1134" s="1" t="s">
        <v>1550</v>
      </c>
      <c r="B1134" s="1" t="s">
        <v>1551</v>
      </c>
      <c r="C1134" s="1" t="s">
        <v>1552</v>
      </c>
      <c r="D1134" s="1" t="s">
        <v>3013</v>
      </c>
      <c r="E1134" s="1" t="s">
        <v>3014</v>
      </c>
      <c r="F1134" s="1" t="str">
        <f>"253302801"</f>
        <v>253302801</v>
      </c>
      <c r="G1134" s="1" t="str">
        <f>"8004354351"</f>
        <v>8004354351</v>
      </c>
      <c r="H1134" s="1" t="s">
        <v>2637</v>
      </c>
    </row>
    <row r="1135" spans="1:8" x14ac:dyDescent="0.25">
      <c r="A1135" s="1" t="s">
        <v>182</v>
      </c>
      <c r="B1135" s="1" t="s">
        <v>183</v>
      </c>
      <c r="C1135" s="1" t="s">
        <v>184</v>
      </c>
      <c r="D1135" s="1" t="s">
        <v>3013</v>
      </c>
      <c r="E1135" s="1" t="s">
        <v>3014</v>
      </c>
      <c r="F1135" s="1" t="str">
        <f>"253321064"</f>
        <v>253321064</v>
      </c>
      <c r="G1135" s="1" t="str">
        <f>"8004354351"</f>
        <v>8004354351</v>
      </c>
      <c r="H1135" s="1" t="s">
        <v>2637</v>
      </c>
    </row>
    <row r="1136" spans="1:8" x14ac:dyDescent="0.25">
      <c r="A1136" s="1" t="s">
        <v>1194</v>
      </c>
      <c r="B1136" s="1" t="s">
        <v>1195</v>
      </c>
      <c r="C1136" s="1" t="s">
        <v>1196</v>
      </c>
      <c r="D1136" s="1" t="s">
        <v>1197</v>
      </c>
      <c r="E1136" s="1" t="s">
        <v>2786</v>
      </c>
      <c r="F1136" s="1" t="str">
        <f>"60522    "</f>
        <v xml:space="preserve">60522    </v>
      </c>
      <c r="G1136" s="1" t="str">
        <f>"8668269345"</f>
        <v>8668269345</v>
      </c>
      <c r="H1136" s="1" t="s">
        <v>2637</v>
      </c>
    </row>
    <row r="1137" spans="1:8" x14ac:dyDescent="0.25">
      <c r="A1137" s="1" t="s">
        <v>261</v>
      </c>
      <c r="B1137" s="1" t="s">
        <v>262</v>
      </c>
      <c r="C1137" s="1" t="s">
        <v>263</v>
      </c>
      <c r="D1137" s="1" t="s">
        <v>2901</v>
      </c>
      <c r="E1137" s="1" t="s">
        <v>2902</v>
      </c>
      <c r="F1137" s="1" t="str">
        <f>"554400039"</f>
        <v>554400039</v>
      </c>
      <c r="G1137" s="1" t="str">
        <f>"8665108780"</f>
        <v>8665108780</v>
      </c>
      <c r="H1137" s="1" t="s">
        <v>2760</v>
      </c>
    </row>
    <row r="1138" spans="1:8" x14ac:dyDescent="0.25">
      <c r="A1138" s="1" t="s">
        <v>3127</v>
      </c>
      <c r="B1138" s="1" t="s">
        <v>3128</v>
      </c>
      <c r="C1138" s="1" t="str">
        <f>"1515 S 75TH STREET                                "</f>
        <v xml:space="preserve">1515 S 75TH STREET                                </v>
      </c>
      <c r="D1138" s="1" t="s">
        <v>2891</v>
      </c>
      <c r="E1138" s="1" t="s">
        <v>2862</v>
      </c>
      <c r="F1138" s="1" t="str">
        <f>"68124    "</f>
        <v xml:space="preserve">68124    </v>
      </c>
      <c r="G1138" s="1" t="str">
        <f>"8002286080"</f>
        <v>8002286080</v>
      </c>
      <c r="H1138" s="1" t="s">
        <v>3129</v>
      </c>
    </row>
    <row r="1139" spans="1:8" x14ac:dyDescent="0.25">
      <c r="A1139" s="1" t="s">
        <v>2300</v>
      </c>
      <c r="B1139" s="1" t="s">
        <v>2301</v>
      </c>
      <c r="C1139" s="1" t="s">
        <v>2302</v>
      </c>
      <c r="D1139" s="1" t="s">
        <v>2939</v>
      </c>
      <c r="E1139" s="1" t="s">
        <v>2667</v>
      </c>
      <c r="F1139" s="1" t="str">
        <f>"53744    "</f>
        <v xml:space="preserve">53744    </v>
      </c>
      <c r="G1139" s="1" t="str">
        <f>"6086621232"</f>
        <v>6086621232</v>
      </c>
      <c r="H1139" s="1" t="s">
        <v>2637</v>
      </c>
    </row>
    <row r="1140" spans="1:8" x14ac:dyDescent="0.25">
      <c r="A1140" s="1" t="s">
        <v>846</v>
      </c>
      <c r="B1140" s="1" t="s">
        <v>847</v>
      </c>
      <c r="C1140" s="1" t="s">
        <v>848</v>
      </c>
      <c r="D1140" s="1" t="s">
        <v>2884</v>
      </c>
      <c r="E1140" s="1" t="s">
        <v>2885</v>
      </c>
      <c r="F1140" s="1" t="str">
        <f>"731541407"</f>
        <v>731541407</v>
      </c>
      <c r="G1140" s="1" t="str">
        <f>"8002725466"</f>
        <v>8002725466</v>
      </c>
      <c r="H1140" s="1" t="s">
        <v>2637</v>
      </c>
    </row>
    <row r="1141" spans="1:8" x14ac:dyDescent="0.25">
      <c r="A1141" s="1" t="s">
        <v>128</v>
      </c>
      <c r="B1141" s="1" t="s">
        <v>129</v>
      </c>
      <c r="C1141" s="1" t="s">
        <v>130</v>
      </c>
      <c r="D1141" s="1" t="s">
        <v>2007</v>
      </c>
      <c r="E1141" s="1" t="s">
        <v>2636</v>
      </c>
      <c r="F1141" s="1" t="str">
        <f>"775531800"</f>
        <v>775531800</v>
      </c>
      <c r="G1141" s="1" t="str">
        <f>"8883501488"</f>
        <v>8883501488</v>
      </c>
      <c r="H1141" s="1" t="s">
        <v>2637</v>
      </c>
    </row>
    <row r="1142" spans="1:8" x14ac:dyDescent="0.25">
      <c r="A1142" s="1" t="s">
        <v>3174</v>
      </c>
      <c r="B1142" s="1" t="s">
        <v>3175</v>
      </c>
      <c r="C1142" s="1" t="s">
        <v>3176</v>
      </c>
      <c r="D1142" s="1" t="s">
        <v>2891</v>
      </c>
      <c r="E1142" s="1" t="s">
        <v>2862</v>
      </c>
      <c r="F1142" s="1" t="str">
        <f>"681247007"</f>
        <v>681247007</v>
      </c>
      <c r="G1142" s="1" t="str">
        <f>"4023973200"</f>
        <v>4023973200</v>
      </c>
      <c r="H1142" s="1" t="s">
        <v>2637</v>
      </c>
    </row>
    <row r="1143" spans="1:8" x14ac:dyDescent="0.25">
      <c r="A1143" s="1" t="s">
        <v>2361</v>
      </c>
      <c r="B1143" s="1" t="s">
        <v>2362</v>
      </c>
      <c r="C1143" s="1" t="s">
        <v>2363</v>
      </c>
      <c r="D1143" s="1" t="s">
        <v>3085</v>
      </c>
      <c r="E1143" s="1" t="s">
        <v>3086</v>
      </c>
      <c r="F1143" s="1" t="str">
        <f>"35238    "</f>
        <v xml:space="preserve">35238    </v>
      </c>
      <c r="G1143" s="1" t="str">
        <f>"8883222115"</f>
        <v>8883222115</v>
      </c>
      <c r="H1143" s="1" t="s">
        <v>2760</v>
      </c>
    </row>
    <row r="1144" spans="1:8" x14ac:dyDescent="0.25">
      <c r="A1144" s="1" t="s">
        <v>2546</v>
      </c>
      <c r="B1144" s="1" t="s">
        <v>2547</v>
      </c>
      <c r="C1144" s="1" t="s">
        <v>2548</v>
      </c>
      <c r="D1144" s="1" t="s">
        <v>2181</v>
      </c>
      <c r="E1144" s="1" t="s">
        <v>2970</v>
      </c>
      <c r="F1144" s="1" t="str">
        <f>"381741799"</f>
        <v>381741799</v>
      </c>
      <c r="G1144" s="1" t="str">
        <f>"9017256435"</f>
        <v>9017256435</v>
      </c>
      <c r="H1144" s="1" t="s">
        <v>2637</v>
      </c>
    </row>
    <row r="1145" spans="1:8" x14ac:dyDescent="0.25">
      <c r="A1145" s="1" t="s">
        <v>447</v>
      </c>
      <c r="B1145" s="1" t="s">
        <v>2547</v>
      </c>
      <c r="C1145" s="1" t="s">
        <v>2548</v>
      </c>
      <c r="D1145" s="1" t="s">
        <v>2181</v>
      </c>
      <c r="E1145" s="1" t="s">
        <v>2970</v>
      </c>
      <c r="F1145" s="1" t="str">
        <f>"381741799"</f>
        <v>381741799</v>
      </c>
      <c r="G1145" s="1" t="str">
        <f>"9017256435"</f>
        <v>9017256435</v>
      </c>
      <c r="H1145" s="1" t="s">
        <v>2637</v>
      </c>
    </row>
    <row r="1146" spans="1:8" x14ac:dyDescent="0.25">
      <c r="A1146" s="1" t="s">
        <v>561</v>
      </c>
      <c r="B1146" s="1" t="s">
        <v>562</v>
      </c>
      <c r="C1146" s="1" t="str">
        <f>"1400 MAIN STREET STE 1300                         "</f>
        <v xml:space="preserve">1400 MAIN STREET STE 1300                         </v>
      </c>
      <c r="D1146" s="1" t="s">
        <v>2701</v>
      </c>
      <c r="E1146" s="1" t="s">
        <v>2660</v>
      </c>
      <c r="F1146" s="1" t="str">
        <f>"29201    "</f>
        <v xml:space="preserve">29201    </v>
      </c>
      <c r="G1146" s="1" t="str">
        <f>"8037716785"</f>
        <v>8037716785</v>
      </c>
      <c r="H1146" s="1" t="s">
        <v>2637</v>
      </c>
    </row>
    <row r="1147" spans="1:8" x14ac:dyDescent="0.25">
      <c r="A1147" s="1" t="s">
        <v>2549</v>
      </c>
      <c r="B1147" s="1" t="s">
        <v>2550</v>
      </c>
      <c r="C1147" s="1" t="s">
        <v>2551</v>
      </c>
      <c r="D1147" s="1" t="s">
        <v>2710</v>
      </c>
      <c r="E1147" s="1" t="s">
        <v>2660</v>
      </c>
      <c r="F1147" s="1" t="str">
        <f>"29606    "</f>
        <v xml:space="preserve">29606    </v>
      </c>
      <c r="G1147" s="1" t="str">
        <f>"8642356474"</f>
        <v>8642356474</v>
      </c>
      <c r="H1147" s="1" t="s">
        <v>2637</v>
      </c>
    </row>
    <row r="1148" spans="1:8" x14ac:dyDescent="0.25">
      <c r="A1148" s="1" t="s">
        <v>635</v>
      </c>
      <c r="B1148" s="1" t="s">
        <v>636</v>
      </c>
      <c r="C1148" s="1" t="s">
        <v>637</v>
      </c>
      <c r="D1148" s="1" t="s">
        <v>2701</v>
      </c>
      <c r="E1148" s="1" t="s">
        <v>2660</v>
      </c>
      <c r="F1148" s="1" t="str">
        <f>"29260    "</f>
        <v xml:space="preserve">29260    </v>
      </c>
      <c r="G1148" s="1" t="str">
        <f>"8037986207"</f>
        <v>8037986207</v>
      </c>
      <c r="H1148" s="1" t="s">
        <v>2637</v>
      </c>
    </row>
    <row r="1149" spans="1:8" x14ac:dyDescent="0.25">
      <c r="A1149" s="1" t="s">
        <v>1420</v>
      </c>
      <c r="B1149" s="1" t="s">
        <v>1421</v>
      </c>
      <c r="C1149" s="1" t="s">
        <v>1422</v>
      </c>
      <c r="D1149" s="1" t="s">
        <v>2673</v>
      </c>
      <c r="E1149" s="1" t="s">
        <v>2674</v>
      </c>
      <c r="F1149" s="1" t="str">
        <f>"841710747"</f>
        <v>841710747</v>
      </c>
      <c r="G1149" s="1" t="str">
        <f>"8774534201"</f>
        <v>8774534201</v>
      </c>
      <c r="H1149" s="1" t="s">
        <v>2760</v>
      </c>
    </row>
    <row r="1150" spans="1:8" x14ac:dyDescent="0.25">
      <c r="A1150" s="1" t="s">
        <v>25</v>
      </c>
      <c r="B1150" s="1" t="s">
        <v>26</v>
      </c>
      <c r="C1150" s="1" t="s">
        <v>27</v>
      </c>
      <c r="D1150" s="1" t="s">
        <v>2794</v>
      </c>
      <c r="E1150" s="1" t="s">
        <v>2744</v>
      </c>
      <c r="F1150" s="1" t="str">
        <f>"40512    "</f>
        <v xml:space="preserve">40512    </v>
      </c>
      <c r="G1150" s="1" t="str">
        <f>"8002727243"</f>
        <v>8002727243</v>
      </c>
      <c r="H1150" s="1" t="s">
        <v>28</v>
      </c>
    </row>
    <row r="1151" spans="1:8" x14ac:dyDescent="0.25">
      <c r="A1151" s="1" t="s">
        <v>1697</v>
      </c>
      <c r="B1151" s="1" t="s">
        <v>2967</v>
      </c>
      <c r="C1151" s="1" t="s">
        <v>2968</v>
      </c>
      <c r="D1151" s="1" t="s">
        <v>2969</v>
      </c>
      <c r="E1151" s="1" t="s">
        <v>2970</v>
      </c>
      <c r="F1151" s="1" t="str">
        <f>"379500098"</f>
        <v>379500098</v>
      </c>
      <c r="G1151" s="1" t="str">
        <f>"8008221274"</f>
        <v>8008221274</v>
      </c>
      <c r="H1151" s="1" t="s">
        <v>2637</v>
      </c>
    </row>
    <row r="1152" spans="1:8" x14ac:dyDescent="0.25">
      <c r="A1152" s="1" t="s">
        <v>2966</v>
      </c>
      <c r="B1152" s="1" t="s">
        <v>2967</v>
      </c>
      <c r="C1152" s="1" t="s">
        <v>2968</v>
      </c>
      <c r="D1152" s="1" t="s">
        <v>2969</v>
      </c>
      <c r="E1152" s="1" t="s">
        <v>2970</v>
      </c>
      <c r="F1152" s="1" t="str">
        <f>"379500098"</f>
        <v>379500098</v>
      </c>
      <c r="G1152" s="1" t="str">
        <f>"8008221274"</f>
        <v>8008221274</v>
      </c>
      <c r="H1152" s="1" t="s">
        <v>2637</v>
      </c>
    </row>
    <row r="1153" spans="1:8" x14ac:dyDescent="0.25">
      <c r="A1153" s="1" t="s">
        <v>3065</v>
      </c>
      <c r="B1153" s="1" t="s">
        <v>3066</v>
      </c>
      <c r="C1153" s="1" t="s">
        <v>3067</v>
      </c>
      <c r="D1153" s="1" t="s">
        <v>2923</v>
      </c>
      <c r="E1153" s="1" t="s">
        <v>2681</v>
      </c>
      <c r="F1153" s="1" t="str">
        <f>"31908    "</f>
        <v xml:space="preserve">31908    </v>
      </c>
      <c r="G1153" s="1" t="str">
        <f>"8004268803"</f>
        <v>8004268803</v>
      </c>
      <c r="H1153" s="1" t="s">
        <v>2637</v>
      </c>
    </row>
    <row r="1154" spans="1:8" x14ac:dyDescent="0.25">
      <c r="A1154" s="1" t="s">
        <v>2329</v>
      </c>
      <c r="B1154" s="1" t="s">
        <v>2221</v>
      </c>
      <c r="C1154" s="1" t="s">
        <v>2222</v>
      </c>
      <c r="D1154" s="1" t="s">
        <v>2058</v>
      </c>
      <c r="E1154" s="1" t="s">
        <v>2677</v>
      </c>
      <c r="F1154" s="1" t="str">
        <f>"27417    "</f>
        <v xml:space="preserve">27417    </v>
      </c>
      <c r="G1154" s="1" t="str">
        <f>"3366659400"</f>
        <v>3366659400</v>
      </c>
      <c r="H1154" s="1" t="s">
        <v>2637</v>
      </c>
    </row>
    <row r="1155" spans="1:8" x14ac:dyDescent="0.25">
      <c r="A1155" s="1" t="s">
        <v>2220</v>
      </c>
      <c r="B1155" s="1" t="s">
        <v>2221</v>
      </c>
      <c r="C1155" s="1" t="s">
        <v>2222</v>
      </c>
      <c r="D1155" s="1" t="s">
        <v>2058</v>
      </c>
      <c r="E1155" s="1" t="s">
        <v>2677</v>
      </c>
      <c r="F1155" s="1" t="str">
        <f>"27417    "</f>
        <v xml:space="preserve">27417    </v>
      </c>
      <c r="G1155" s="1" t="str">
        <f>"3366659400"</f>
        <v>3366659400</v>
      </c>
      <c r="H1155" s="1" t="s">
        <v>2637</v>
      </c>
    </row>
    <row r="1156" spans="1:8" x14ac:dyDescent="0.25">
      <c r="A1156" s="1" t="s">
        <v>1294</v>
      </c>
      <c r="B1156" s="1" t="s">
        <v>1295</v>
      </c>
      <c r="C1156" s="1" t="s">
        <v>954</v>
      </c>
      <c r="D1156" s="1" t="s">
        <v>2616</v>
      </c>
      <c r="E1156" s="1" t="s">
        <v>2660</v>
      </c>
      <c r="F1156" s="1" t="str">
        <f>"29304    "</f>
        <v xml:space="preserve">29304    </v>
      </c>
      <c r="G1156" s="1" t="str">
        <f>"901-685-89"</f>
        <v>901-685-89</v>
      </c>
      <c r="H1156" s="1" t="s">
        <v>2760</v>
      </c>
    </row>
    <row r="1157" spans="1:8" x14ac:dyDescent="0.25">
      <c r="A1157" s="1" t="s">
        <v>836</v>
      </c>
      <c r="B1157" s="1" t="s">
        <v>837</v>
      </c>
      <c r="C1157" s="1" t="s">
        <v>838</v>
      </c>
      <c r="D1157" s="1" t="s">
        <v>839</v>
      </c>
      <c r="E1157" s="1" t="s">
        <v>2952</v>
      </c>
      <c r="F1157" s="1" t="str">
        <f>"065208217"</f>
        <v>065208217</v>
      </c>
      <c r="G1157" s="1" t="str">
        <f>"2034320250"</f>
        <v>2034320250</v>
      </c>
      <c r="H1157" s="1" t="s">
        <v>2760</v>
      </c>
    </row>
    <row r="1158" spans="1:8" x14ac:dyDescent="0.25">
      <c r="A1158" s="1" t="s">
        <v>2486</v>
      </c>
      <c r="B1158" s="1" t="s">
        <v>2487</v>
      </c>
      <c r="C1158" s="1" t="str">
        <f>"4574 LAWRENCEVILLE HWY, STE 201                   "</f>
        <v xml:space="preserve">4574 LAWRENCEVILLE HWY, STE 201                   </v>
      </c>
      <c r="D1158" s="1" t="s">
        <v>2488</v>
      </c>
      <c r="E1158" s="1" t="s">
        <v>2681</v>
      </c>
      <c r="F1158" s="1" t="str">
        <f>"30047    "</f>
        <v xml:space="preserve">30047    </v>
      </c>
      <c r="G1158" s="1" t="str">
        <f>"7704517550"</f>
        <v>7704517550</v>
      </c>
      <c r="H1158" s="1" t="s">
        <v>2637</v>
      </c>
    </row>
    <row r="1159" spans="1:8" x14ac:dyDescent="0.25">
      <c r="A1159" s="1" t="s">
        <v>2049</v>
      </c>
      <c r="B1159" s="1" t="s">
        <v>2637</v>
      </c>
      <c r="C1159" s="1" t="s">
        <v>2637</v>
      </c>
      <c r="D1159" s="1" t="s">
        <v>2637</v>
      </c>
      <c r="E1159" s="1" t="s">
        <v>2637</v>
      </c>
      <c r="F1159" s="1" t="s">
        <v>2637</v>
      </c>
      <c r="G1159" s="1" t="s">
        <v>2637</v>
      </c>
      <c r="H1159" s="1" t="s">
        <v>2637</v>
      </c>
    </row>
    <row r="1160" spans="1:8" x14ac:dyDescent="0.25">
      <c r="A1160" s="1" t="s">
        <v>488</v>
      </c>
      <c r="B1160" s="1" t="s">
        <v>489</v>
      </c>
      <c r="C1160" s="1" t="s">
        <v>490</v>
      </c>
      <c r="D1160" s="1" t="s">
        <v>2335</v>
      </c>
      <c r="E1160" s="1" t="s">
        <v>2749</v>
      </c>
      <c r="F1160" s="1" t="str">
        <f>"672770510"</f>
        <v>672770510</v>
      </c>
      <c r="G1160" s="1" t="s">
        <v>2637</v>
      </c>
      <c r="H1160" s="1" t="s">
        <v>2760</v>
      </c>
    </row>
    <row r="1161" spans="1:8" x14ac:dyDescent="0.25">
      <c r="A1161" s="1" t="s">
        <v>254</v>
      </c>
      <c r="B1161" s="1" t="s">
        <v>255</v>
      </c>
      <c r="C1161" s="1" t="str">
        <f>"734 15TH STREET NW  SUITE 500                     "</f>
        <v xml:space="preserve">734 15TH STREET NW  SUITE 500                     </v>
      </c>
      <c r="D1161" s="1" t="s">
        <v>2691</v>
      </c>
      <c r="E1161" s="1" t="s">
        <v>2692</v>
      </c>
      <c r="F1161" s="1" t="str">
        <f>"20005    "</f>
        <v xml:space="preserve">20005    </v>
      </c>
      <c r="G1161" s="1" t="str">
        <f>"2023936600"</f>
        <v>2023936600</v>
      </c>
      <c r="H1161" s="1" t="s">
        <v>2637</v>
      </c>
    </row>
    <row r="1162" spans="1:8" x14ac:dyDescent="0.25">
      <c r="A1162" s="1" t="s">
        <v>769</v>
      </c>
      <c r="B1162" s="1" t="s">
        <v>770</v>
      </c>
      <c r="C1162" s="1" t="str">
        <f>"1930 BISHOP LANE SUIT 132                         "</f>
        <v xml:space="preserve">1930 BISHOP LANE SUIT 132                         </v>
      </c>
      <c r="D1162" s="1" t="s">
        <v>2743</v>
      </c>
      <c r="E1162" s="1" t="s">
        <v>2744</v>
      </c>
      <c r="F1162" s="1" t="str">
        <f>"40218    "</f>
        <v xml:space="preserve">40218    </v>
      </c>
      <c r="G1162" s="1" t="str">
        <f>"8006331262"</f>
        <v>8006331262</v>
      </c>
      <c r="H1162" s="1" t="s">
        <v>2637</v>
      </c>
    </row>
    <row r="1163" spans="1:8" x14ac:dyDescent="0.25">
      <c r="A1163" s="1" t="s">
        <v>1879</v>
      </c>
      <c r="B1163" s="1" t="s">
        <v>1880</v>
      </c>
      <c r="C1163" s="1" t="str">
        <f>"4600 WITMER INDUSTRIAL ESTATES #2                 "</f>
        <v xml:space="preserve">4600 WITMER INDUSTRIAL ESTATES #2                 </v>
      </c>
      <c r="D1163" s="1" t="s">
        <v>1881</v>
      </c>
      <c r="E1163" s="1" t="s">
        <v>2773</v>
      </c>
      <c r="F1163" s="1" t="str">
        <f>"14305    "</f>
        <v xml:space="preserve">14305    </v>
      </c>
      <c r="G1163" s="1" t="str">
        <f>"8004564553"</f>
        <v>8004564553</v>
      </c>
      <c r="H1163" s="1" t="s">
        <v>1882</v>
      </c>
    </row>
    <row r="1164" spans="1:8" x14ac:dyDescent="0.25">
      <c r="A1164" s="1" t="s">
        <v>2241</v>
      </c>
      <c r="B1164" s="1" t="s">
        <v>2242</v>
      </c>
      <c r="C1164" s="1" t="s">
        <v>2243</v>
      </c>
      <c r="D1164" s="1" t="s">
        <v>2794</v>
      </c>
      <c r="E1164" s="1" t="s">
        <v>2744</v>
      </c>
      <c r="F1164" s="1" t="str">
        <f>"405784602"</f>
        <v>405784602</v>
      </c>
      <c r="G1164" s="1" t="str">
        <f>"8004574708"</f>
        <v>8004574708</v>
      </c>
      <c r="H1164" s="1" t="s">
        <v>2795</v>
      </c>
    </row>
    <row r="1165" spans="1:8" x14ac:dyDescent="0.25">
      <c r="A1165" s="1" t="s">
        <v>1179</v>
      </c>
      <c r="B1165" s="1" t="s">
        <v>1180</v>
      </c>
      <c r="C1165" s="1" t="s">
        <v>1062</v>
      </c>
      <c r="D1165" s="1" t="s">
        <v>2528</v>
      </c>
      <c r="E1165" s="1" t="s">
        <v>2660</v>
      </c>
      <c r="F1165" s="1" t="str">
        <f>"290207845"</f>
        <v>290207845</v>
      </c>
      <c r="G1165" s="1" t="str">
        <f>"8774467845"</f>
        <v>8774467845</v>
      </c>
      <c r="H1165" s="1" t="s">
        <v>2795</v>
      </c>
    </row>
    <row r="1166" spans="1:8" x14ac:dyDescent="0.25">
      <c r="A1166" s="1" t="s">
        <v>1060</v>
      </c>
      <c r="B1166" s="1" t="s">
        <v>1061</v>
      </c>
      <c r="C1166" s="1" t="s">
        <v>1062</v>
      </c>
      <c r="D1166" s="1" t="s">
        <v>2528</v>
      </c>
      <c r="E1166" s="1" t="s">
        <v>2660</v>
      </c>
      <c r="F1166" s="1" t="str">
        <f>"290207845"</f>
        <v>290207845</v>
      </c>
      <c r="G1166" s="1" t="str">
        <f>"8774467845"</f>
        <v>8774467845</v>
      </c>
      <c r="H1166" s="1" t="s">
        <v>2795</v>
      </c>
    </row>
    <row r="1167" spans="1:8" x14ac:dyDescent="0.25">
      <c r="A1167" s="1" t="s">
        <v>312</v>
      </c>
      <c r="B1167" s="1" t="s">
        <v>313</v>
      </c>
      <c r="C1167" s="1" t="s">
        <v>314</v>
      </c>
      <c r="D1167" s="1" t="s">
        <v>2701</v>
      </c>
      <c r="E1167" s="1" t="s">
        <v>2660</v>
      </c>
      <c r="F1167" s="1" t="str">
        <f>"29202    "</f>
        <v xml:space="preserve">29202    </v>
      </c>
      <c r="G1167" s="1" t="str">
        <f>"8006053256"</f>
        <v>8006053256</v>
      </c>
      <c r="H1167" s="1" t="s">
        <v>2795</v>
      </c>
    </row>
    <row r="1168" spans="1:8" x14ac:dyDescent="0.25">
      <c r="A1168" s="1" t="s">
        <v>334</v>
      </c>
      <c r="B1168" s="1" t="s">
        <v>335</v>
      </c>
      <c r="C1168" s="1" t="s">
        <v>314</v>
      </c>
      <c r="D1168" s="1" t="s">
        <v>2701</v>
      </c>
      <c r="E1168" s="1" t="s">
        <v>2660</v>
      </c>
      <c r="F1168" s="1" t="str">
        <f>"29202    "</f>
        <v xml:space="preserve">29202    </v>
      </c>
      <c r="G1168" s="1" t="str">
        <f>"8006053256"</f>
        <v>8006053256</v>
      </c>
      <c r="H1168" s="1" t="s">
        <v>2795</v>
      </c>
    </row>
    <row r="1169" spans="1:8" x14ac:dyDescent="0.25">
      <c r="A1169" s="1" t="s">
        <v>2914</v>
      </c>
      <c r="B1169" s="1" t="s">
        <v>2915</v>
      </c>
      <c r="C1169" s="1" t="s">
        <v>2916</v>
      </c>
      <c r="D1169" s="1" t="s">
        <v>2701</v>
      </c>
      <c r="E1169" s="1" t="s">
        <v>2660</v>
      </c>
      <c r="F1169" s="1" t="str">
        <f>"29260    "</f>
        <v xml:space="preserve">29260    </v>
      </c>
      <c r="G1169" s="1" t="str">
        <f>"8772753256"</f>
        <v>8772753256</v>
      </c>
      <c r="H1169" s="1" t="s">
        <v>2917</v>
      </c>
    </row>
    <row r="1170" spans="1:8" x14ac:dyDescent="0.25">
      <c r="A1170" s="1" t="s">
        <v>2931</v>
      </c>
      <c r="B1170" s="1" t="s">
        <v>2637</v>
      </c>
      <c r="C1170" s="1" t="s">
        <v>2637</v>
      </c>
      <c r="D1170" s="1" t="s">
        <v>2637</v>
      </c>
      <c r="E1170" s="1" t="s">
        <v>2637</v>
      </c>
      <c r="F1170" s="1" t="s">
        <v>2637</v>
      </c>
      <c r="G1170" s="1" t="s">
        <v>2637</v>
      </c>
      <c r="H1170" s="1" t="s">
        <v>2637</v>
      </c>
    </row>
    <row r="1171" spans="1:8" x14ac:dyDescent="0.25">
      <c r="A1171" s="1" t="s">
        <v>2558</v>
      </c>
      <c r="B1171" s="1" t="s">
        <v>2559</v>
      </c>
      <c r="C1171" s="1" t="s">
        <v>2560</v>
      </c>
      <c r="D1171" s="1" t="s">
        <v>2561</v>
      </c>
      <c r="E1171" s="1" t="s">
        <v>2826</v>
      </c>
      <c r="F1171" s="1" t="str">
        <f>"809622920"</f>
        <v>809622920</v>
      </c>
      <c r="G1171" s="1" t="str">
        <f>"3094942363"</f>
        <v>3094942363</v>
      </c>
      <c r="H1171" s="1" t="s">
        <v>2637</v>
      </c>
    </row>
    <row r="1172" spans="1:8" x14ac:dyDescent="0.25">
      <c r="A1172" s="1" t="s">
        <v>1429</v>
      </c>
      <c r="B1172" s="1" t="s">
        <v>2637</v>
      </c>
      <c r="C1172" s="1" t="s">
        <v>2637</v>
      </c>
      <c r="D1172" s="1" t="s">
        <v>2637</v>
      </c>
      <c r="E1172" s="1" t="s">
        <v>2637</v>
      </c>
      <c r="F1172" s="1" t="str">
        <f>"-----    "</f>
        <v xml:space="preserve">-----    </v>
      </c>
      <c r="G1172" s="1" t="s">
        <v>2637</v>
      </c>
      <c r="H1172" s="1" t="s">
        <v>2637</v>
      </c>
    </row>
    <row r="1173" spans="1:8" x14ac:dyDescent="0.25">
      <c r="A1173" s="1" t="s">
        <v>991</v>
      </c>
      <c r="B1173" s="1" t="s">
        <v>992</v>
      </c>
      <c r="C1173" s="1" t="s">
        <v>993</v>
      </c>
      <c r="D1173" s="1" t="s">
        <v>2755</v>
      </c>
      <c r="E1173" s="1" t="s">
        <v>2647</v>
      </c>
      <c r="F1173" s="1" t="str">
        <f>"20848    "</f>
        <v xml:space="preserve">20848    </v>
      </c>
      <c r="G1173" s="1" t="str">
        <f>"8004459090"</f>
        <v>8004459090</v>
      </c>
      <c r="H1173" s="1" t="s">
        <v>2637</v>
      </c>
    </row>
    <row r="1174" spans="1:8" x14ac:dyDescent="0.25">
      <c r="A1174" s="1" t="s">
        <v>1553</v>
      </c>
      <c r="B1174" s="1" t="s">
        <v>2637</v>
      </c>
      <c r="C1174" s="1" t="s">
        <v>2637</v>
      </c>
      <c r="D1174" s="1" t="s">
        <v>2637</v>
      </c>
      <c r="E1174" s="1" t="s">
        <v>2637</v>
      </c>
      <c r="F1174" s="1" t="s">
        <v>2637</v>
      </c>
      <c r="G1174" s="1" t="s">
        <v>2637</v>
      </c>
      <c r="H1174" s="1" t="s">
        <v>2637</v>
      </c>
    </row>
    <row r="1175" spans="1:8" x14ac:dyDescent="0.25">
      <c r="A1175" s="1" t="s">
        <v>629</v>
      </c>
      <c r="B1175" s="1" t="s">
        <v>630</v>
      </c>
      <c r="C1175" s="1" t="str">
        <f>"6704 CURTIS COURT                                 "</f>
        <v xml:space="preserve">6704 CURTIS COURT                                 </v>
      </c>
      <c r="D1175" s="1" t="s">
        <v>2462</v>
      </c>
      <c r="E1175" s="1" t="s">
        <v>2647</v>
      </c>
      <c r="F1175" s="1" t="str">
        <f>"21060    "</f>
        <v xml:space="preserve">21060    </v>
      </c>
      <c r="G1175" s="1" t="str">
        <f>"8002612393"</f>
        <v>8002612393</v>
      </c>
      <c r="H1175" s="1" t="s">
        <v>2637</v>
      </c>
    </row>
    <row r="1176" spans="1:8" x14ac:dyDescent="0.25">
      <c r="A1176" s="1" t="s">
        <v>2276</v>
      </c>
      <c r="B1176" s="1" t="s">
        <v>2277</v>
      </c>
      <c r="C1176" s="1" t="str">
        <f>"125 MERRILL DR. STE. 2000                         "</f>
        <v xml:space="preserve">125 MERRILL DR. STE. 2000                         </v>
      </c>
      <c r="D1176" s="1" t="s">
        <v>2943</v>
      </c>
      <c r="E1176" s="1" t="s">
        <v>2944</v>
      </c>
      <c r="F1176" s="1" t="str">
        <f>"72211    "</f>
        <v xml:space="preserve">72211    </v>
      </c>
      <c r="G1176" s="1" t="str">
        <f>"8882424800"</f>
        <v>8882424800</v>
      </c>
      <c r="H1176" s="1" t="s">
        <v>2278</v>
      </c>
    </row>
    <row r="1177" spans="1:8" x14ac:dyDescent="0.25">
      <c r="A1177" s="1" t="s">
        <v>1292</v>
      </c>
      <c r="B1177" s="1" t="s">
        <v>1293</v>
      </c>
      <c r="C1177" s="1" t="str">
        <f>"795 NORTH 400 WEST                                "</f>
        <v xml:space="preserve">795 NORTH 400 WEST                                </v>
      </c>
      <c r="D1177" s="1" t="s">
        <v>1107</v>
      </c>
      <c r="E1177" s="1" t="s">
        <v>2674</v>
      </c>
      <c r="F1177" s="1" t="str">
        <f>"84103    "</f>
        <v xml:space="preserve">84103    </v>
      </c>
      <c r="G1177" s="1" t="str">
        <f>"8005470421"</f>
        <v>8005470421</v>
      </c>
      <c r="H1177" s="1" t="s">
        <v>2760</v>
      </c>
    </row>
    <row r="1178" spans="1:8" x14ac:dyDescent="0.25">
      <c r="A1178" s="1" t="s">
        <v>2851</v>
      </c>
      <c r="B1178" s="1" t="s">
        <v>2852</v>
      </c>
      <c r="C1178" s="1" t="s">
        <v>2853</v>
      </c>
      <c r="D1178" s="1" t="s">
        <v>2854</v>
      </c>
      <c r="E1178" s="1" t="s">
        <v>2636</v>
      </c>
      <c r="F1178" s="1" t="str">
        <f>"799981610"</f>
        <v>799981610</v>
      </c>
      <c r="G1178" s="1" t="str">
        <f>"7043643865"</f>
        <v>7043643865</v>
      </c>
      <c r="H1178" s="1" t="s">
        <v>2637</v>
      </c>
    </row>
    <row r="1179" spans="1:8" x14ac:dyDescent="0.25">
      <c r="A1179" s="1" t="s">
        <v>2223</v>
      </c>
      <c r="B1179" s="1" t="s">
        <v>2852</v>
      </c>
      <c r="C1179" s="1" t="s">
        <v>2224</v>
      </c>
      <c r="D1179" s="1" t="s">
        <v>2906</v>
      </c>
      <c r="E1179" s="1" t="s">
        <v>2677</v>
      </c>
      <c r="F1179" s="1" t="str">
        <f>"28222    "</f>
        <v xml:space="preserve">28222    </v>
      </c>
      <c r="G1179" s="1" t="str">
        <f>"7043643865"</f>
        <v>7043643865</v>
      </c>
      <c r="H1179" s="1" t="s">
        <v>2637</v>
      </c>
    </row>
    <row r="1180" spans="1:8" x14ac:dyDescent="0.25">
      <c r="A1180" s="1" t="s">
        <v>814</v>
      </c>
      <c r="B1180" s="1" t="s">
        <v>815</v>
      </c>
      <c r="C1180" s="1" t="s">
        <v>816</v>
      </c>
      <c r="D1180" s="1" t="s">
        <v>817</v>
      </c>
      <c r="E1180" s="1" t="s">
        <v>2832</v>
      </c>
      <c r="F1180" s="1" t="str">
        <f>"338853067"</f>
        <v>338853067</v>
      </c>
      <c r="G1180" s="1" t="str">
        <f>"8002263155"</f>
        <v>8002263155</v>
      </c>
      <c r="H1180" s="1" t="s">
        <v>2760</v>
      </c>
    </row>
    <row r="1181" spans="1:8" x14ac:dyDescent="0.25">
      <c r="A1181" s="1" t="s">
        <v>542</v>
      </c>
      <c r="B1181" s="1" t="s">
        <v>543</v>
      </c>
      <c r="C1181" s="1" t="s">
        <v>544</v>
      </c>
      <c r="D1181" s="1" t="s">
        <v>545</v>
      </c>
      <c r="E1181" s="1" t="s">
        <v>2647</v>
      </c>
      <c r="F1181" s="1" t="str">
        <f>"21401    "</f>
        <v xml:space="preserve">21401    </v>
      </c>
      <c r="G1181" s="1" t="str">
        <f>"8004248622"</f>
        <v>8004248622</v>
      </c>
      <c r="H1181" s="1" t="s">
        <v>2637</v>
      </c>
    </row>
    <row r="1182" spans="1:8" x14ac:dyDescent="0.25">
      <c r="A1182" s="1" t="s">
        <v>1774</v>
      </c>
      <c r="B1182" s="1" t="s">
        <v>1775</v>
      </c>
      <c r="C1182" s="1" t="str">
        <f>"3611 CHESTER AVE                                  "</f>
        <v xml:space="preserve">3611 CHESTER AVE                                  </v>
      </c>
      <c r="D1182" s="1" t="s">
        <v>2713</v>
      </c>
      <c r="E1182" s="1" t="s">
        <v>2714</v>
      </c>
      <c r="F1182" s="1" t="str">
        <f>"44114    "</f>
        <v xml:space="preserve">44114    </v>
      </c>
      <c r="G1182" s="1" t="str">
        <f>"8004213959"</f>
        <v>8004213959</v>
      </c>
      <c r="H1182" s="1" t="s">
        <v>2760</v>
      </c>
    </row>
    <row r="1183" spans="1:8" x14ac:dyDescent="0.25">
      <c r="A1183" s="1" t="s">
        <v>1945</v>
      </c>
      <c r="B1183" s="1" t="s">
        <v>1530</v>
      </c>
      <c r="C1183" s="1" t="s">
        <v>1531</v>
      </c>
      <c r="D1183" s="1" t="s">
        <v>2717</v>
      </c>
      <c r="E1183" s="1" t="s">
        <v>2681</v>
      </c>
      <c r="F1183" s="1" t="str">
        <f>"31119    "</f>
        <v xml:space="preserve">31119    </v>
      </c>
      <c r="G1183" s="1" t="str">
        <f>"4042612590"</f>
        <v>4042612590</v>
      </c>
      <c r="H1183" s="1" t="s">
        <v>2637</v>
      </c>
    </row>
    <row r="1184" spans="1:8" x14ac:dyDescent="0.25">
      <c r="A1184" s="1" t="s">
        <v>1533</v>
      </c>
      <c r="B1184" s="1" t="s">
        <v>1534</v>
      </c>
      <c r="C1184" s="1" t="s">
        <v>1535</v>
      </c>
      <c r="D1184" s="1" t="s">
        <v>1536</v>
      </c>
      <c r="E1184" s="1" t="s">
        <v>2786</v>
      </c>
      <c r="F1184" s="1" t="str">
        <f>"60430    "</f>
        <v xml:space="preserve">60430    </v>
      </c>
      <c r="G1184" s="1" t="str">
        <f>"7087997400"</f>
        <v>7087997400</v>
      </c>
      <c r="H1184" s="1" t="s">
        <v>2637</v>
      </c>
    </row>
    <row r="1185" spans="1:8" x14ac:dyDescent="0.25">
      <c r="A1185" s="1" t="s">
        <v>1694</v>
      </c>
      <c r="B1185" s="1" t="s">
        <v>1695</v>
      </c>
      <c r="C1185" s="1" t="s">
        <v>1696</v>
      </c>
      <c r="D1185" s="1" t="s">
        <v>2652</v>
      </c>
      <c r="E1185" s="1" t="s">
        <v>2647</v>
      </c>
      <c r="F1185" s="1" t="str">
        <f>"21223    "</f>
        <v xml:space="preserve">21223    </v>
      </c>
      <c r="G1185" s="1" t="str">
        <f>"8887768851"</f>
        <v>8887768851</v>
      </c>
      <c r="H1185" s="1" t="s">
        <v>2760</v>
      </c>
    </row>
    <row r="1186" spans="1:8" x14ac:dyDescent="0.25">
      <c r="A1186" s="1" t="s">
        <v>2753</v>
      </c>
      <c r="B1186" s="1" t="s">
        <v>2754</v>
      </c>
      <c r="C1186" s="1" t="str">
        <f>"2273 RESEARCH BLVD                                "</f>
        <v xml:space="preserve">2273 RESEARCH BLVD                                </v>
      </c>
      <c r="D1186" s="1" t="s">
        <v>2755</v>
      </c>
      <c r="E1186" s="1" t="s">
        <v>2647</v>
      </c>
      <c r="F1186" s="1" t="str">
        <f>"20850    "</f>
        <v xml:space="preserve">20850    </v>
      </c>
      <c r="G1186" s="1" t="str">
        <f>"8002474144"</f>
        <v>8002474144</v>
      </c>
      <c r="H1186" s="1" t="s">
        <v>2637</v>
      </c>
    </row>
    <row r="1187" spans="1:8" x14ac:dyDescent="0.25">
      <c r="A1187" s="1" t="s">
        <v>282</v>
      </c>
      <c r="B1187" s="1" t="s">
        <v>283</v>
      </c>
      <c r="C1187" s="1" t="s">
        <v>284</v>
      </c>
      <c r="D1187" s="1" t="s">
        <v>285</v>
      </c>
      <c r="E1187" s="1" t="s">
        <v>2885</v>
      </c>
      <c r="F1187" s="1" t="str">
        <f>"73701    "</f>
        <v xml:space="preserve">73701    </v>
      </c>
      <c r="G1187" s="1" t="str">
        <f>"4052334000"</f>
        <v>4052334000</v>
      </c>
      <c r="H1187" s="1" t="s">
        <v>2735</v>
      </c>
    </row>
    <row r="1188" spans="1:8" x14ac:dyDescent="0.25">
      <c r="A1188" s="1" t="s">
        <v>1611</v>
      </c>
      <c r="B1188" s="1" t="s">
        <v>1612</v>
      </c>
      <c r="C1188" s="1" t="s">
        <v>1613</v>
      </c>
      <c r="D1188" s="1" t="s">
        <v>2743</v>
      </c>
      <c r="E1188" s="1" t="s">
        <v>2744</v>
      </c>
      <c r="F1188" s="1" t="str">
        <f>"40224    "</f>
        <v xml:space="preserve">40224    </v>
      </c>
      <c r="G1188" s="1" t="str">
        <f>"8005281057"</f>
        <v>8005281057</v>
      </c>
      <c r="H1188" s="1" t="s">
        <v>2637</v>
      </c>
    </row>
    <row r="1189" spans="1:8" x14ac:dyDescent="0.25">
      <c r="A1189" s="1" t="s">
        <v>2256</v>
      </c>
      <c r="B1189" s="1" t="s">
        <v>2257</v>
      </c>
      <c r="C1189" s="1" t="str">
        <f>"2727 ALLEN PARKWAY                                "</f>
        <v xml:space="preserve">2727 ALLEN PARKWAY                                </v>
      </c>
      <c r="D1189" s="1" t="s">
        <v>2635</v>
      </c>
      <c r="E1189" s="1" t="s">
        <v>2636</v>
      </c>
      <c r="F1189" s="1" t="str">
        <f>"770192115"</f>
        <v>770192115</v>
      </c>
      <c r="G1189" s="1" t="str">
        <f>"7135290045"</f>
        <v>7135290045</v>
      </c>
      <c r="H1189" s="1" t="s">
        <v>2637</v>
      </c>
    </row>
    <row r="1190" spans="1:8" x14ac:dyDescent="0.25">
      <c r="A1190" s="1" t="s">
        <v>369</v>
      </c>
      <c r="B1190" s="1" t="s">
        <v>370</v>
      </c>
      <c r="C1190" s="1" t="s">
        <v>371</v>
      </c>
      <c r="D1190" s="1" t="s">
        <v>2805</v>
      </c>
      <c r="E1190" s="1" t="s">
        <v>2636</v>
      </c>
      <c r="F1190" s="1" t="str">
        <f>"78755    "</f>
        <v xml:space="preserve">78755    </v>
      </c>
      <c r="G1190" s="1" t="str">
        <f>"8006336752"</f>
        <v>8006336752</v>
      </c>
      <c r="H1190" s="1" t="s">
        <v>2637</v>
      </c>
    </row>
    <row r="1191" spans="1:8" x14ac:dyDescent="0.25">
      <c r="A1191" s="1" t="s">
        <v>1230</v>
      </c>
      <c r="B1191" s="1" t="s">
        <v>1231</v>
      </c>
      <c r="C1191" s="1" t="s">
        <v>1232</v>
      </c>
      <c r="D1191" s="1" t="s">
        <v>917</v>
      </c>
      <c r="E1191" s="1" t="s">
        <v>2670</v>
      </c>
      <c r="F1191" s="1" t="str">
        <f>"63141    "</f>
        <v xml:space="preserve">63141    </v>
      </c>
      <c r="G1191" s="1" t="str">
        <f>"3148780101"</f>
        <v>3148780101</v>
      </c>
      <c r="H1191" s="1" t="s">
        <v>2637</v>
      </c>
    </row>
    <row r="1192" spans="1:8" x14ac:dyDescent="0.25">
      <c r="A1192" s="1" t="s">
        <v>2920</v>
      </c>
      <c r="B1192" s="1" t="s">
        <v>2921</v>
      </c>
      <c r="C1192" s="1" t="s">
        <v>2922</v>
      </c>
      <c r="D1192" s="1" t="s">
        <v>2923</v>
      </c>
      <c r="E1192" s="1" t="s">
        <v>2706</v>
      </c>
      <c r="F1192" s="1" t="str">
        <f>"47202    "</f>
        <v xml:space="preserve">47202    </v>
      </c>
      <c r="G1192" s="1" t="str">
        <f>"8008732022"</f>
        <v>8008732022</v>
      </c>
      <c r="H1192" s="1" t="s">
        <v>2637</v>
      </c>
    </row>
    <row r="1193" spans="1:8" x14ac:dyDescent="0.25">
      <c r="A1193" s="1" t="s">
        <v>2161</v>
      </c>
      <c r="B1193" s="1" t="s">
        <v>2162</v>
      </c>
      <c r="C1193" s="1" t="s">
        <v>2163</v>
      </c>
      <c r="D1193" s="1" t="s">
        <v>2024</v>
      </c>
      <c r="E1193" s="1" t="s">
        <v>2636</v>
      </c>
      <c r="F1193" s="1" t="str">
        <f>"76099    "</f>
        <v xml:space="preserve">76099    </v>
      </c>
      <c r="G1193" s="1" t="str">
        <f>"8006380589"</f>
        <v>8006380589</v>
      </c>
      <c r="H1193" s="1" t="s">
        <v>2637</v>
      </c>
    </row>
    <row r="1194" spans="1:8" x14ac:dyDescent="0.25">
      <c r="A1194" s="1" t="s">
        <v>818</v>
      </c>
      <c r="B1194" s="1" t="s">
        <v>819</v>
      </c>
      <c r="C1194" s="1" t="s">
        <v>820</v>
      </c>
      <c r="D1194" s="1" t="s">
        <v>2616</v>
      </c>
      <c r="E1194" s="1" t="s">
        <v>2660</v>
      </c>
      <c r="F1194" s="1" t="str">
        <f>"29304    "</f>
        <v xml:space="preserve">29304    </v>
      </c>
      <c r="G1194" s="1" t="str">
        <f>"8004761555"</f>
        <v>8004761555</v>
      </c>
      <c r="H1194" s="1" t="s">
        <v>2760</v>
      </c>
    </row>
    <row r="1195" spans="1:8" x14ac:dyDescent="0.25">
      <c r="A1195" s="1" t="s">
        <v>2281</v>
      </c>
      <c r="B1195" s="1" t="s">
        <v>2972</v>
      </c>
      <c r="C1195" s="1" t="str">
        <f>"3850 ATHERTON ROAD                                "</f>
        <v xml:space="preserve">3850 ATHERTON ROAD                                </v>
      </c>
      <c r="D1195" s="1" t="s">
        <v>2282</v>
      </c>
      <c r="E1195" s="1" t="s">
        <v>2663</v>
      </c>
      <c r="F1195" s="1" t="str">
        <f>"95765    "</f>
        <v xml:space="preserve">95765    </v>
      </c>
      <c r="G1195" s="1" t="str">
        <f>"8008728276"</f>
        <v>8008728276</v>
      </c>
      <c r="H1195" s="1" t="s">
        <v>2637</v>
      </c>
    </row>
    <row r="1196" spans="1:8" x14ac:dyDescent="0.25">
      <c r="A1196" s="1" t="s">
        <v>2971</v>
      </c>
      <c r="B1196" s="1" t="s">
        <v>2972</v>
      </c>
      <c r="C1196" s="1" t="str">
        <f>"3001 DOUGLAS ST                                   "</f>
        <v xml:space="preserve">3001 DOUGLAS ST                                   </v>
      </c>
      <c r="D1196" s="1" t="s">
        <v>2973</v>
      </c>
      <c r="E1196" s="1" t="s">
        <v>2663</v>
      </c>
      <c r="F1196" s="1" t="str">
        <f>"95661    "</f>
        <v xml:space="preserve">95661    </v>
      </c>
      <c r="G1196" s="1" t="str">
        <f>"8008728276"</f>
        <v>8008728276</v>
      </c>
      <c r="H1196" s="1" t="s">
        <v>2637</v>
      </c>
    </row>
    <row r="1197" spans="1:8" x14ac:dyDescent="0.25">
      <c r="A1197" s="1" t="s">
        <v>2602</v>
      </c>
      <c r="B1197" s="1" t="s">
        <v>2603</v>
      </c>
      <c r="C1197" s="1" t="s">
        <v>2604</v>
      </c>
      <c r="D1197" s="1" t="s">
        <v>2605</v>
      </c>
      <c r="E1197" s="1" t="s">
        <v>2902</v>
      </c>
      <c r="F1197" s="1" t="str">
        <f>"55085    "</f>
        <v xml:space="preserve">55085    </v>
      </c>
      <c r="G1197" s="1" t="str">
        <f>"8003282739"</f>
        <v>8003282739</v>
      </c>
      <c r="H1197" s="1" t="s">
        <v>2637</v>
      </c>
    </row>
    <row r="1198" spans="1:8" x14ac:dyDescent="0.25">
      <c r="A1198" s="1" t="s">
        <v>2368</v>
      </c>
      <c r="B1198" s="1" t="s">
        <v>3243</v>
      </c>
      <c r="C1198" s="1" t="s">
        <v>3244</v>
      </c>
      <c r="D1198" s="1" t="s">
        <v>2696</v>
      </c>
      <c r="E1198" s="1" t="s">
        <v>2697</v>
      </c>
      <c r="F1198" s="1" t="str">
        <f>"17604    "</f>
        <v xml:space="preserve">17604    </v>
      </c>
      <c r="G1198" s="1" t="str">
        <f>"8004333746"</f>
        <v>8004333746</v>
      </c>
      <c r="H1198" s="1" t="s">
        <v>3245</v>
      </c>
    </row>
    <row r="1199" spans="1:8" x14ac:dyDescent="0.25">
      <c r="A1199" s="1" t="s">
        <v>3242</v>
      </c>
      <c r="B1199" s="1" t="s">
        <v>3243</v>
      </c>
      <c r="C1199" s="1" t="s">
        <v>3244</v>
      </c>
      <c r="D1199" s="1" t="s">
        <v>2696</v>
      </c>
      <c r="E1199" s="1" t="s">
        <v>2697</v>
      </c>
      <c r="F1199" s="1" t="str">
        <f>"17604    "</f>
        <v xml:space="preserve">17604    </v>
      </c>
      <c r="G1199" s="1" t="str">
        <f>"8004333746"</f>
        <v>8004333746</v>
      </c>
      <c r="H1199" s="1" t="s">
        <v>3245</v>
      </c>
    </row>
    <row r="1200" spans="1:8" x14ac:dyDescent="0.25">
      <c r="A1200" s="1" t="s">
        <v>1504</v>
      </c>
      <c r="B1200" s="1" t="s">
        <v>1505</v>
      </c>
      <c r="C1200" s="1" t="str">
        <f>"2700 MIDWEST DR                                   "</f>
        <v xml:space="preserve">2700 MIDWEST DR                                   </v>
      </c>
      <c r="D1200" s="1" t="s">
        <v>1506</v>
      </c>
      <c r="E1200" s="1" t="s">
        <v>2667</v>
      </c>
      <c r="F1200" s="1" t="str">
        <f>"54650    "</f>
        <v xml:space="preserve">54650    </v>
      </c>
      <c r="G1200" s="1" t="str">
        <f>"8002368672"</f>
        <v>8002368672</v>
      </c>
      <c r="H1200" s="1" t="s">
        <v>2637</v>
      </c>
    </row>
    <row r="1201" spans="1:8" x14ac:dyDescent="0.25">
      <c r="A1201" s="1" t="s">
        <v>2918</v>
      </c>
      <c r="B1201" s="1" t="s">
        <v>2919</v>
      </c>
      <c r="C1201" s="1" t="str">
        <f>"6310 LAMAR AVE . STE 230                          "</f>
        <v xml:space="preserve">6310 LAMAR AVE . STE 230                          </v>
      </c>
      <c r="D1201" s="1" t="s">
        <v>2748</v>
      </c>
      <c r="E1201" s="1" t="s">
        <v>2749</v>
      </c>
      <c r="F1201" s="1" t="str">
        <f>"66202    "</f>
        <v xml:space="preserve">66202    </v>
      </c>
      <c r="G1201" s="1" t="str">
        <f>"8007714648"</f>
        <v>8007714648</v>
      </c>
      <c r="H1201" s="1" t="s">
        <v>2637</v>
      </c>
    </row>
    <row r="1202" spans="1:8" x14ac:dyDescent="0.25">
      <c r="A1202" s="1" t="s">
        <v>1772</v>
      </c>
      <c r="B1202" s="1" t="s">
        <v>1773</v>
      </c>
      <c r="C1202" s="1" t="str">
        <f>"1200 THREE GATEWAY CENTER                         "</f>
        <v xml:space="preserve">1200 THREE GATEWAY CENTER                         </v>
      </c>
      <c r="D1202" s="1" t="s">
        <v>3230</v>
      </c>
      <c r="E1202" s="1" t="s">
        <v>2697</v>
      </c>
      <c r="F1202" s="1" t="str">
        <f>"15222    "</f>
        <v xml:space="preserve">15222    </v>
      </c>
      <c r="G1202" s="1" t="str">
        <f>"8002428923"</f>
        <v>8002428923</v>
      </c>
      <c r="H1202" s="1" t="s">
        <v>2637</v>
      </c>
    </row>
    <row r="1203" spans="1:8" x14ac:dyDescent="0.25">
      <c r="A1203" s="1" t="s">
        <v>3231</v>
      </c>
      <c r="B1203" s="1" t="s">
        <v>3232</v>
      </c>
      <c r="C1203" s="1" t="s">
        <v>3233</v>
      </c>
      <c r="D1203" s="1" t="s">
        <v>3234</v>
      </c>
      <c r="E1203" s="1" t="s">
        <v>3118</v>
      </c>
      <c r="F1203" s="1" t="str">
        <f>"60631    "</f>
        <v xml:space="preserve">60631    </v>
      </c>
      <c r="G1203" s="1" t="str">
        <f>"8885323467"</f>
        <v>8885323467</v>
      </c>
      <c r="H1203" s="1" t="s">
        <v>2637</v>
      </c>
    </row>
    <row r="1204" spans="1:8" x14ac:dyDescent="0.25">
      <c r="A1204" s="1" t="s">
        <v>871</v>
      </c>
      <c r="B1204" s="1" t="s">
        <v>872</v>
      </c>
      <c r="C1204" s="1" t="str">
        <f>"1515 S. 75TH ST                                   "</f>
        <v xml:space="preserve">1515 S. 75TH ST                                   </v>
      </c>
      <c r="D1204" s="1" t="s">
        <v>2891</v>
      </c>
      <c r="E1204" s="1" t="s">
        <v>2862</v>
      </c>
      <c r="F1204" s="1" t="str">
        <f>"68124    "</f>
        <v xml:space="preserve">68124    </v>
      </c>
      <c r="G1204" s="1" t="str">
        <f>"8002286080"</f>
        <v>8002286080</v>
      </c>
      <c r="H1204" s="1" t="s">
        <v>873</v>
      </c>
    </row>
    <row r="1205" spans="1:8" x14ac:dyDescent="0.25">
      <c r="A1205" s="1" t="s">
        <v>2271</v>
      </c>
      <c r="B1205" s="1" t="s">
        <v>2272</v>
      </c>
      <c r="C1205" s="1" t="str">
        <f>"-                                                 "</f>
        <v xml:space="preserve">-                                                 </v>
      </c>
      <c r="D1205" s="1" t="str">
        <f>"-                                      "</f>
        <v xml:space="preserve">-                                      </v>
      </c>
      <c r="E1205" s="1" t="str">
        <f>"- "</f>
        <v xml:space="preserve">- </v>
      </c>
      <c r="F1205" s="1" t="str">
        <f>"-        "</f>
        <v xml:space="preserve">-        </v>
      </c>
      <c r="G1205" s="1" t="s">
        <v>2637</v>
      </c>
      <c r="H1205" s="1" t="s">
        <v>2637</v>
      </c>
    </row>
    <row r="1206" spans="1:8" x14ac:dyDescent="0.25">
      <c r="A1206" s="1" t="s">
        <v>2640</v>
      </c>
      <c r="B1206" s="1" t="s">
        <v>2637</v>
      </c>
      <c r="C1206" s="1" t="s">
        <v>2637</v>
      </c>
      <c r="D1206" s="1" t="s">
        <v>2637</v>
      </c>
      <c r="E1206" s="1" t="s">
        <v>2637</v>
      </c>
      <c r="F1206" s="1" t="s">
        <v>2637</v>
      </c>
      <c r="G1206" s="1" t="s">
        <v>2637</v>
      </c>
      <c r="H1206" s="1" t="s">
        <v>2637</v>
      </c>
    </row>
    <row r="1207" spans="1:8" x14ac:dyDescent="0.25">
      <c r="A1207" s="1" t="s">
        <v>583</v>
      </c>
      <c r="B1207" s="1" t="s">
        <v>584</v>
      </c>
      <c r="C1207" s="1" t="s">
        <v>585</v>
      </c>
      <c r="D1207" s="1" t="s">
        <v>586</v>
      </c>
      <c r="E1207" s="1" t="s">
        <v>2636</v>
      </c>
      <c r="F1207" s="1" t="str">
        <f>"76307    "</f>
        <v xml:space="preserve">76307    </v>
      </c>
      <c r="G1207" s="1" t="str">
        <f>"8177617611"</f>
        <v>8177617611</v>
      </c>
      <c r="H1207" s="1" t="s">
        <v>587</v>
      </c>
    </row>
    <row r="1208" spans="1:8" x14ac:dyDescent="0.25">
      <c r="A1208" s="1" t="s">
        <v>396</v>
      </c>
      <c r="B1208" s="1" t="s">
        <v>397</v>
      </c>
      <c r="C1208" s="1" t="str">
        <f>"4950 NE BELNAP CT  #205                           "</f>
        <v xml:space="preserve">4950 NE BELNAP CT  #205                           </v>
      </c>
      <c r="D1208" s="1" t="s">
        <v>398</v>
      </c>
      <c r="E1208" s="1" t="s">
        <v>2127</v>
      </c>
      <c r="F1208" s="1" t="str">
        <f>"97124    "</f>
        <v xml:space="preserve">97124    </v>
      </c>
      <c r="G1208" s="1" t="str">
        <f>"5036402000"</f>
        <v>5036402000</v>
      </c>
      <c r="H1208" s="1" t="s">
        <v>2760</v>
      </c>
    </row>
    <row r="1209" spans="1:8" x14ac:dyDescent="0.25">
      <c r="A1209" s="1" t="s">
        <v>73</v>
      </c>
      <c r="B1209" s="1" t="s">
        <v>74</v>
      </c>
      <c r="C1209" s="1" t="s">
        <v>75</v>
      </c>
      <c r="D1209" s="1" t="s">
        <v>76</v>
      </c>
      <c r="E1209" s="1" t="s">
        <v>2821</v>
      </c>
      <c r="F1209" s="1" t="str">
        <f>"08054    "</f>
        <v xml:space="preserve">08054    </v>
      </c>
      <c r="G1209" s="1" t="str">
        <f>"8009896739"</f>
        <v>8009896739</v>
      </c>
      <c r="H1209" s="1" t="s">
        <v>2637</v>
      </c>
    </row>
    <row r="1210" spans="1:8" x14ac:dyDescent="0.25">
      <c r="A1210" s="1" t="s">
        <v>671</v>
      </c>
      <c r="B1210" s="1" t="s">
        <v>672</v>
      </c>
      <c r="C1210" s="1" t="s">
        <v>2517</v>
      </c>
      <c r="D1210" s="1" t="s">
        <v>673</v>
      </c>
      <c r="E1210" s="1" t="s">
        <v>2127</v>
      </c>
      <c r="F1210" s="1" t="str">
        <f>"97401    "</f>
        <v xml:space="preserve">97401    </v>
      </c>
      <c r="G1210" s="1" t="str">
        <f>"8006246052"</f>
        <v>8006246052</v>
      </c>
      <c r="H1210" s="1" t="s">
        <v>2637</v>
      </c>
    </row>
    <row r="1211" spans="1:8" x14ac:dyDescent="0.25">
      <c r="A1211" s="1" t="s">
        <v>2364</v>
      </c>
      <c r="B1211" s="1" t="s">
        <v>2365</v>
      </c>
      <c r="C1211" s="1" t="s">
        <v>2366</v>
      </c>
      <c r="D1211" s="1" t="s">
        <v>2367</v>
      </c>
      <c r="E1211" s="1" t="s">
        <v>2647</v>
      </c>
      <c r="F1211" s="1" t="str">
        <f>"211177098"</f>
        <v>211177098</v>
      </c>
      <c r="G1211" s="1" t="str">
        <f>"8008158240"</f>
        <v>8008158240</v>
      </c>
      <c r="H1211" s="1" t="s">
        <v>2760</v>
      </c>
    </row>
    <row r="1212" spans="1:8" x14ac:dyDescent="0.25">
      <c r="A1212" s="1" t="s">
        <v>245</v>
      </c>
      <c r="B1212" s="1" t="s">
        <v>246</v>
      </c>
      <c r="C1212" s="1" t="s">
        <v>1432</v>
      </c>
      <c r="D1212" s="1" t="s">
        <v>3230</v>
      </c>
      <c r="E1212" s="1" t="s">
        <v>2697</v>
      </c>
      <c r="F1212" s="1" t="str">
        <f>"15230    "</f>
        <v xml:space="preserve">15230    </v>
      </c>
      <c r="G1212" s="1" t="str">
        <f>"8773813764"</f>
        <v>8773813764</v>
      </c>
      <c r="H1212" s="1" t="s">
        <v>2795</v>
      </c>
    </row>
    <row r="1213" spans="1:8" x14ac:dyDescent="0.25">
      <c r="A1213" s="1" t="s">
        <v>2443</v>
      </c>
      <c r="B1213" s="1" t="s">
        <v>2444</v>
      </c>
      <c r="C1213" s="1" t="s">
        <v>2445</v>
      </c>
      <c r="D1213" s="1" t="s">
        <v>2446</v>
      </c>
      <c r="E1213" s="1" t="s">
        <v>2663</v>
      </c>
      <c r="F1213" s="1" t="str">
        <f>"90022    "</f>
        <v xml:space="preserve">90022    </v>
      </c>
      <c r="G1213" s="1" t="str">
        <f>"3237227171"</f>
        <v>3237227171</v>
      </c>
      <c r="H1213" s="1" t="s">
        <v>2760</v>
      </c>
    </row>
    <row r="1214" spans="1:8" x14ac:dyDescent="0.25">
      <c r="A1214" s="1" t="s">
        <v>1911</v>
      </c>
      <c r="B1214" s="1" t="s">
        <v>1912</v>
      </c>
      <c r="C1214" s="1" t="s">
        <v>1913</v>
      </c>
      <c r="D1214" s="1" t="s">
        <v>1914</v>
      </c>
      <c r="E1214" s="1" t="s">
        <v>2714</v>
      </c>
      <c r="F1214" s="1" t="str">
        <f>"430170971"</f>
        <v>430170971</v>
      </c>
      <c r="G1214" s="1" t="str">
        <f>"8772542363"</f>
        <v>8772542363</v>
      </c>
      <c r="H1214" s="1" t="s">
        <v>2760</v>
      </c>
    </row>
    <row r="1215" spans="1:8" x14ac:dyDescent="0.25">
      <c r="A1215" s="1" t="s">
        <v>2279</v>
      </c>
      <c r="B1215" s="1" t="s">
        <v>2280</v>
      </c>
      <c r="C1215" s="1" t="str">
        <f>"8019 BAYBERRY RD                                  "</f>
        <v xml:space="preserve">8019 BAYBERRY RD                                  </v>
      </c>
      <c r="D1215" s="1" t="s">
        <v>2834</v>
      </c>
      <c r="E1215" s="1" t="s">
        <v>2832</v>
      </c>
      <c r="F1215" s="1" t="str">
        <f>"32256    "</f>
        <v xml:space="preserve">32256    </v>
      </c>
      <c r="G1215" s="1" t="str">
        <f>"8008920059"</f>
        <v>8008920059</v>
      </c>
      <c r="H1215" s="1" t="s">
        <v>2760</v>
      </c>
    </row>
    <row r="1216" spans="1:8" x14ac:dyDescent="0.25">
      <c r="A1216" s="1" t="s">
        <v>1721</v>
      </c>
      <c r="B1216" s="1" t="s">
        <v>1722</v>
      </c>
      <c r="C1216" s="1" t="s">
        <v>2093</v>
      </c>
      <c r="D1216" s="1" t="s">
        <v>2094</v>
      </c>
      <c r="E1216" s="1" t="s">
        <v>2706</v>
      </c>
      <c r="F1216" s="1" t="str">
        <f>"46082    "</f>
        <v xml:space="preserve">46082    </v>
      </c>
      <c r="G1216" s="1" t="str">
        <f>"8666994186"</f>
        <v>8666994186</v>
      </c>
      <c r="H1216" s="1" t="s">
        <v>2637</v>
      </c>
    </row>
    <row r="1217" spans="1:8" x14ac:dyDescent="0.25">
      <c r="A1217" s="1" t="s">
        <v>325</v>
      </c>
      <c r="B1217" s="1" t="s">
        <v>326</v>
      </c>
      <c r="C1217" s="1" t="s">
        <v>327</v>
      </c>
      <c r="D1217" s="1" t="s">
        <v>2808</v>
      </c>
      <c r="E1217" s="1" t="s">
        <v>2809</v>
      </c>
      <c r="F1217" s="1" t="str">
        <f>"85050    "</f>
        <v xml:space="preserve">85050    </v>
      </c>
      <c r="G1217" s="1" t="str">
        <f>"8884191094"</f>
        <v>8884191094</v>
      </c>
      <c r="H1217" s="1" t="s">
        <v>328</v>
      </c>
    </row>
    <row r="1218" spans="1:8" x14ac:dyDescent="0.25">
      <c r="A1218" s="1" t="s">
        <v>3239</v>
      </c>
      <c r="B1218" s="1" t="s">
        <v>3240</v>
      </c>
      <c r="C1218" s="1" t="s">
        <v>3241</v>
      </c>
      <c r="D1218" s="1" t="s">
        <v>3188</v>
      </c>
      <c r="E1218" s="1" t="s">
        <v>2832</v>
      </c>
      <c r="F1218" s="1" t="str">
        <f>"325912466"</f>
        <v>325912466</v>
      </c>
      <c r="G1218" s="1" t="str">
        <f>"8882024340"</f>
        <v>8882024340</v>
      </c>
      <c r="H1218" s="1" t="s">
        <v>2795</v>
      </c>
    </row>
    <row r="1219" spans="1:8" x14ac:dyDescent="0.25">
      <c r="A1219" s="1" t="s">
        <v>1960</v>
      </c>
      <c r="B1219" s="1" t="s">
        <v>1961</v>
      </c>
      <c r="C1219" s="1" t="s">
        <v>2356</v>
      </c>
      <c r="D1219" s="1" t="s">
        <v>2357</v>
      </c>
      <c r="E1219" s="1" t="s">
        <v>2663</v>
      </c>
      <c r="F1219" s="1" t="str">
        <f>"91723    "</f>
        <v xml:space="preserve">91723    </v>
      </c>
      <c r="G1219" s="1" t="str">
        <f>"8007756490"</f>
        <v>8007756490</v>
      </c>
      <c r="H1219" s="1" t="s">
        <v>1962</v>
      </c>
    </row>
    <row r="1220" spans="1:8" x14ac:dyDescent="0.25">
      <c r="A1220" s="1" t="s">
        <v>1957</v>
      </c>
      <c r="B1220" s="1" t="s">
        <v>1958</v>
      </c>
      <c r="C1220" s="1" t="str">
        <f>"27000 ELEVEN MILE RD                              "</f>
        <v xml:space="preserve">27000 ELEVEN MILE RD                              </v>
      </c>
      <c r="D1220" s="1" t="s">
        <v>1959</v>
      </c>
      <c r="E1220" s="1" t="s">
        <v>2644</v>
      </c>
      <c r="F1220" s="1" t="str">
        <f>"48034    "</f>
        <v xml:space="preserve">48034    </v>
      </c>
      <c r="G1220" s="1" t="str">
        <f>"8002495103"</f>
        <v>8002495103</v>
      </c>
      <c r="H1220" s="1" t="s">
        <v>2795</v>
      </c>
    </row>
    <row r="1221" spans="1:8" x14ac:dyDescent="0.25">
      <c r="A1221" s="1" t="s">
        <v>2452</v>
      </c>
      <c r="B1221" s="1" t="s">
        <v>2453</v>
      </c>
      <c r="C1221" s="1" t="s">
        <v>2454</v>
      </c>
      <c r="D1221" s="1" t="s">
        <v>2985</v>
      </c>
      <c r="E1221" s="1" t="s">
        <v>2636</v>
      </c>
      <c r="F1221" s="1" t="str">
        <f>"78279    "</f>
        <v xml:space="preserve">78279    </v>
      </c>
      <c r="G1221" s="1" t="str">
        <f>"8884458916"</f>
        <v>8884458916</v>
      </c>
      <c r="H1221" s="1" t="s">
        <v>2795</v>
      </c>
    </row>
    <row r="1222" spans="1:8" x14ac:dyDescent="0.25">
      <c r="A1222" s="1" t="s">
        <v>2538</v>
      </c>
      <c r="B1222" s="1" t="s">
        <v>2539</v>
      </c>
      <c r="C1222" s="1" t="s">
        <v>2540</v>
      </c>
      <c r="D1222" s="1" t="s">
        <v>2794</v>
      </c>
      <c r="E1222" s="1" t="s">
        <v>2744</v>
      </c>
      <c r="F1222" s="1" t="str">
        <f>"405124079"</f>
        <v>405124079</v>
      </c>
      <c r="G1222" s="1" t="str">
        <f>"8006240756"</f>
        <v>8006240756</v>
      </c>
      <c r="H1222" s="1" t="s">
        <v>2795</v>
      </c>
    </row>
    <row r="1223" spans="1:8" x14ac:dyDescent="0.25">
      <c r="A1223" s="1" t="s">
        <v>2982</v>
      </c>
      <c r="B1223" s="1" t="s">
        <v>2983</v>
      </c>
      <c r="C1223" s="1" t="s">
        <v>2984</v>
      </c>
      <c r="D1223" s="1" t="s">
        <v>2985</v>
      </c>
      <c r="E1223" s="1" t="s">
        <v>2636</v>
      </c>
      <c r="F1223" s="1" t="str">
        <f>"78279    "</f>
        <v xml:space="preserve">78279    </v>
      </c>
      <c r="G1223" s="1" t="str">
        <f>"8662352770"</f>
        <v>8662352770</v>
      </c>
      <c r="H1223" s="1" t="s">
        <v>2795</v>
      </c>
    </row>
    <row r="1224" spans="1:8" x14ac:dyDescent="0.25">
      <c r="A1224" s="1" t="s">
        <v>3246</v>
      </c>
      <c r="B1224" s="1" t="s">
        <v>3247</v>
      </c>
      <c r="C1224" s="1" t="s">
        <v>3248</v>
      </c>
      <c r="D1224" s="1" t="s">
        <v>3249</v>
      </c>
      <c r="E1224" s="1" t="s">
        <v>2885</v>
      </c>
      <c r="F1224" s="1" t="str">
        <f>"741013249"</f>
        <v>741013249</v>
      </c>
      <c r="G1224" s="1" t="str">
        <f>"8006428065"</f>
        <v>8006428065</v>
      </c>
      <c r="H1224" s="1" t="s">
        <v>2795</v>
      </c>
    </row>
    <row r="1225" spans="1:8" x14ac:dyDescent="0.25">
      <c r="A1225" s="1" t="s">
        <v>950</v>
      </c>
      <c r="B1225" s="1" t="s">
        <v>951</v>
      </c>
      <c r="C1225" s="1" t="s">
        <v>952</v>
      </c>
      <c r="D1225" s="1" t="s">
        <v>2772</v>
      </c>
      <c r="E1225" s="1" t="s">
        <v>2773</v>
      </c>
      <c r="F1225" s="1" t="str">
        <f>"10274    "</f>
        <v xml:space="preserve">10274    </v>
      </c>
      <c r="G1225" s="1" t="str">
        <f>"8882601010"</f>
        <v>8882601010</v>
      </c>
      <c r="H1225" s="1" t="s">
        <v>2795</v>
      </c>
    </row>
    <row r="1226" spans="1:8" x14ac:dyDescent="0.25">
      <c r="A1226" s="1" t="s">
        <v>2044</v>
      </c>
      <c r="B1226" s="1" t="s">
        <v>2045</v>
      </c>
      <c r="C1226" s="1" t="s">
        <v>2046</v>
      </c>
      <c r="D1226" s="1" t="s">
        <v>3180</v>
      </c>
      <c r="E1226" s="1" t="s">
        <v>2773</v>
      </c>
      <c r="F1226" s="1" t="str">
        <f>"14604    "</f>
        <v xml:space="preserve">14604    </v>
      </c>
      <c r="G1226" s="1" t="str">
        <f>"8778839577"</f>
        <v>8778839577</v>
      </c>
      <c r="H1226" s="1" t="s">
        <v>2795</v>
      </c>
    </row>
    <row r="1227" spans="1:8" x14ac:dyDescent="0.25">
      <c r="A1227" s="1" t="s">
        <v>1275</v>
      </c>
      <c r="B1227" s="1" t="s">
        <v>1276</v>
      </c>
      <c r="C1227" s="1" t="s">
        <v>1277</v>
      </c>
      <c r="D1227" s="1" t="s">
        <v>2969</v>
      </c>
      <c r="E1227" s="1" t="s">
        <v>2970</v>
      </c>
      <c r="F1227" s="1" t="str">
        <f>"37933    "</f>
        <v xml:space="preserve">37933    </v>
      </c>
      <c r="G1227" s="1" t="str">
        <f>"8656707790"</f>
        <v>8656707790</v>
      </c>
      <c r="H1227" s="1" t="s">
        <v>2795</v>
      </c>
    </row>
    <row r="1228" spans="1:8" x14ac:dyDescent="0.25">
      <c r="A1228" s="1" t="s">
        <v>1641</v>
      </c>
      <c r="B1228" s="1" t="s">
        <v>1642</v>
      </c>
      <c r="C1228" s="1" t="s">
        <v>1643</v>
      </c>
      <c r="D1228" s="1" t="s">
        <v>2083</v>
      </c>
      <c r="E1228" s="1" t="s">
        <v>2697</v>
      </c>
      <c r="F1228" s="1" t="str">
        <f>"18505    "</f>
        <v xml:space="preserve">18505    </v>
      </c>
      <c r="G1228" s="1" t="str">
        <f>"8668659329"</f>
        <v>8668659329</v>
      </c>
      <c r="H1228" s="1" t="s">
        <v>2795</v>
      </c>
    </row>
    <row r="1229" spans="1:8" x14ac:dyDescent="0.25">
      <c r="A1229" s="1" t="s">
        <v>1201</v>
      </c>
      <c r="B1229" s="1" t="s">
        <v>1202</v>
      </c>
      <c r="C1229" s="1" t="str">
        <f>"762 SOUTH US HWY.  ONE PMB 224                    "</f>
        <v xml:space="preserve">762 SOUTH US HWY.  ONE PMB 224                    </v>
      </c>
      <c r="D1229" s="1" t="s">
        <v>1203</v>
      </c>
      <c r="E1229" s="1" t="s">
        <v>2832</v>
      </c>
      <c r="F1229" s="1" t="str">
        <f>"32962    "</f>
        <v xml:space="preserve">32962    </v>
      </c>
      <c r="G1229" s="1" t="str">
        <f>"8003089823"</f>
        <v>8003089823</v>
      </c>
      <c r="H1229" s="1" t="s">
        <v>2795</v>
      </c>
    </row>
    <row r="1230" spans="1:8" x14ac:dyDescent="0.25">
      <c r="A1230" s="1" t="s">
        <v>107</v>
      </c>
      <c r="B1230" s="1" t="s">
        <v>108</v>
      </c>
      <c r="C1230" s="1" t="s">
        <v>109</v>
      </c>
      <c r="D1230" s="1" t="s">
        <v>110</v>
      </c>
      <c r="E1230" s="1" t="s">
        <v>2714</v>
      </c>
      <c r="F1230" s="1" t="str">
        <f>"43086    "</f>
        <v xml:space="preserve">43086    </v>
      </c>
      <c r="G1230" s="1" t="str">
        <f>"8002403870"</f>
        <v>8002403870</v>
      </c>
      <c r="H1230" s="1" t="s">
        <v>2637</v>
      </c>
    </row>
    <row r="1231" spans="1:8" x14ac:dyDescent="0.25">
      <c r="A1231" s="1" t="s">
        <v>2924</v>
      </c>
      <c r="B1231" s="1" t="s">
        <v>2925</v>
      </c>
      <c r="C1231" s="1" t="s">
        <v>2926</v>
      </c>
      <c r="D1231" s="1" t="s">
        <v>2927</v>
      </c>
      <c r="E1231" s="1" t="s">
        <v>2773</v>
      </c>
      <c r="F1231" s="1" t="str">
        <f>"11219    "</f>
        <v xml:space="preserve">11219    </v>
      </c>
      <c r="G1231" s="1" t="str">
        <f>"7189218818"</f>
        <v>7189218818</v>
      </c>
      <c r="H1231" s="1" t="s">
        <v>2928</v>
      </c>
    </row>
    <row r="1232" spans="1:8" x14ac:dyDescent="0.25">
      <c r="A1232" s="1" t="s">
        <v>3235</v>
      </c>
      <c r="B1232" s="1" t="s">
        <v>3236</v>
      </c>
      <c r="C1232" s="1" t="s">
        <v>3237</v>
      </c>
      <c r="D1232" s="1" t="s">
        <v>3238</v>
      </c>
      <c r="E1232" s="1" t="s">
        <v>2952</v>
      </c>
      <c r="F1232" s="1" t="str">
        <f>"06601    "</f>
        <v xml:space="preserve">06601    </v>
      </c>
      <c r="G1232" s="1" t="str">
        <f>"8002341228"</f>
        <v>8002341228</v>
      </c>
      <c r="H1232" s="1" t="s">
        <v>2795</v>
      </c>
    </row>
    <row r="1233" spans="1:8" x14ac:dyDescent="0.25">
      <c r="A1233" s="1" t="s">
        <v>1715</v>
      </c>
      <c r="B1233" s="1" t="s">
        <v>1716</v>
      </c>
      <c r="C1233" s="1" t="s">
        <v>1717</v>
      </c>
      <c r="D1233" s="1" t="s">
        <v>1718</v>
      </c>
      <c r="E1233" s="1" t="s">
        <v>2663</v>
      </c>
      <c r="F1233" s="1" t="str">
        <f>"927995032"</f>
        <v>927995032</v>
      </c>
      <c r="G1233" s="1" t="str">
        <f>"7148253828"</f>
        <v>7148253828</v>
      </c>
      <c r="H1233" s="1" t="s">
        <v>2795</v>
      </c>
    </row>
    <row r="1234" spans="1:8" x14ac:dyDescent="0.25">
      <c r="A1234" s="1" t="s">
        <v>2283</v>
      </c>
      <c r="B1234" s="1" t="s">
        <v>2284</v>
      </c>
      <c r="C1234" s="1" t="s">
        <v>2285</v>
      </c>
      <c r="D1234" s="1" t="s">
        <v>2160</v>
      </c>
      <c r="E1234" s="1" t="s">
        <v>2832</v>
      </c>
      <c r="F1234" s="1" t="str">
        <f>"327958465"</f>
        <v>327958465</v>
      </c>
      <c r="G1234" s="1" t="str">
        <f>"4076281776"</f>
        <v>4076281776</v>
      </c>
      <c r="H1234" s="1" t="s">
        <v>2795</v>
      </c>
    </row>
    <row r="1235" spans="1:8" x14ac:dyDescent="0.25">
      <c r="A1235" s="1" t="s">
        <v>445</v>
      </c>
      <c r="B1235" s="1" t="s">
        <v>446</v>
      </c>
      <c r="C1235" s="1" t="str">
        <f>"233 S WACKER DR. STE. 3900                        "</f>
        <v xml:space="preserve">233 S WACKER DR. STE. 3900                        </v>
      </c>
      <c r="D1235" s="1" t="s">
        <v>2154</v>
      </c>
      <c r="E1235" s="1" t="s">
        <v>2786</v>
      </c>
      <c r="F1235" s="1" t="str">
        <f>"68606    "</f>
        <v xml:space="preserve">68606    </v>
      </c>
      <c r="G1235" s="1" t="str">
        <f>"3123247000"</f>
        <v>3123247000</v>
      </c>
      <c r="H1235" s="1" t="s">
        <v>2795</v>
      </c>
    </row>
    <row r="1236" spans="1:8" x14ac:dyDescent="0.25">
      <c r="A1236" s="1" t="s">
        <v>1198</v>
      </c>
      <c r="B1236" s="1" t="s">
        <v>1199</v>
      </c>
      <c r="C1236" s="1" t="s">
        <v>1200</v>
      </c>
      <c r="D1236" s="1" t="s">
        <v>1122</v>
      </c>
      <c r="E1236" s="1" t="s">
        <v>2952</v>
      </c>
      <c r="F1236" s="1" t="str">
        <f>"061150450"</f>
        <v>061150450</v>
      </c>
      <c r="G1236" s="1" t="str">
        <f>"8607025000"</f>
        <v>8607025000</v>
      </c>
      <c r="H1236" s="1" t="s">
        <v>2795</v>
      </c>
    </row>
    <row r="1237" spans="1:8" x14ac:dyDescent="0.25">
      <c r="A1237" s="1" t="s">
        <v>1278</v>
      </c>
      <c r="B1237" s="1" t="s">
        <v>1279</v>
      </c>
      <c r="C1237" s="1" t="s">
        <v>1280</v>
      </c>
      <c r="D1237" s="1" t="s">
        <v>2317</v>
      </c>
      <c r="E1237" s="1" t="s">
        <v>2832</v>
      </c>
      <c r="F1237" s="1" t="str">
        <f>"33265    "</f>
        <v xml:space="preserve">33265    </v>
      </c>
      <c r="G1237" s="1" t="str">
        <f>"3055595366"</f>
        <v>3055595366</v>
      </c>
      <c r="H1237" s="1" t="s">
        <v>2795</v>
      </c>
    </row>
    <row r="1238" spans="1:8" x14ac:dyDescent="0.25">
      <c r="A1238" s="1" t="s">
        <v>2383</v>
      </c>
      <c r="B1238" s="1" t="s">
        <v>2384</v>
      </c>
      <c r="C1238" s="1" t="s">
        <v>2385</v>
      </c>
      <c r="D1238" s="1" t="s">
        <v>2985</v>
      </c>
      <c r="E1238" s="1" t="s">
        <v>2636</v>
      </c>
      <c r="F1238" s="1" t="str">
        <f>"782659735"</f>
        <v>782659735</v>
      </c>
      <c r="G1238" s="1" t="str">
        <f>"8778423210"</f>
        <v>8778423210</v>
      </c>
      <c r="H1238" s="1" t="s">
        <v>2795</v>
      </c>
    </row>
    <row r="1239" spans="1:8" x14ac:dyDescent="0.25">
      <c r="A1239" s="1" t="s">
        <v>875</v>
      </c>
      <c r="B1239" s="1" t="s">
        <v>876</v>
      </c>
      <c r="C1239" s="1" t="s">
        <v>877</v>
      </c>
      <c r="D1239" s="1" t="s">
        <v>2791</v>
      </c>
      <c r="E1239" s="1" t="s">
        <v>2744</v>
      </c>
      <c r="F1239" s="1" t="str">
        <f>"407427154"</f>
        <v>407427154</v>
      </c>
      <c r="G1239" s="1" t="str">
        <f>"8007135095"</f>
        <v>8007135095</v>
      </c>
      <c r="H1239" s="1" t="s">
        <v>2795</v>
      </c>
    </row>
    <row r="1240" spans="1:8" x14ac:dyDescent="0.25">
      <c r="A1240" s="1" t="s">
        <v>2142</v>
      </c>
      <c r="B1240" s="1" t="s">
        <v>2143</v>
      </c>
      <c r="C1240" s="1" t="s">
        <v>2144</v>
      </c>
      <c r="D1240" s="1" t="s">
        <v>2145</v>
      </c>
      <c r="E1240" s="1" t="s">
        <v>2832</v>
      </c>
      <c r="F1240" s="1" t="str">
        <f>"33731    "</f>
        <v xml:space="preserve">33731    </v>
      </c>
      <c r="G1240" s="1" t="str">
        <f>"8666904842"</f>
        <v>8666904842</v>
      </c>
      <c r="H1240" s="1" t="s">
        <v>2795</v>
      </c>
    </row>
    <row r="1241" spans="1:8" x14ac:dyDescent="0.25">
      <c r="A1241" s="1" t="s">
        <v>2095</v>
      </c>
      <c r="B1241" s="1" t="s">
        <v>2096</v>
      </c>
      <c r="C1241" s="1" t="s">
        <v>2097</v>
      </c>
      <c r="D1241" s="1" t="s">
        <v>3263</v>
      </c>
      <c r="E1241" s="1" t="s">
        <v>3264</v>
      </c>
      <c r="F1241" s="1" t="str">
        <f>"52733    "</f>
        <v xml:space="preserve">52733    </v>
      </c>
      <c r="G1241" s="1" t="str">
        <f>"8007737725"</f>
        <v>8007737725</v>
      </c>
      <c r="H1241" s="1" t="s">
        <v>2098</v>
      </c>
    </row>
    <row r="1242" spans="1:8" x14ac:dyDescent="0.25">
      <c r="A1242" s="1" t="s">
        <v>747</v>
      </c>
      <c r="B1242" s="1" t="s">
        <v>748</v>
      </c>
      <c r="C1242" s="1" t="str">
        <f>"5 HOT METAL ST. SUITE 200                         "</f>
        <v xml:space="preserve">5 HOT METAL ST. SUITE 200                         </v>
      </c>
      <c r="D1242" s="1" t="s">
        <v>3230</v>
      </c>
      <c r="E1242" s="1" t="s">
        <v>2697</v>
      </c>
      <c r="F1242" s="1" t="str">
        <f>"15203    "</f>
        <v xml:space="preserve">15203    </v>
      </c>
      <c r="G1242" s="1" t="str">
        <f>"8668258152"</f>
        <v>8668258152</v>
      </c>
      <c r="H1242" s="1" t="s">
        <v>2648</v>
      </c>
    </row>
    <row r="1243" spans="1:8" x14ac:dyDescent="0.25">
      <c r="A1243" s="1" t="s">
        <v>2135</v>
      </c>
      <c r="B1243" s="1" t="s">
        <v>2136</v>
      </c>
      <c r="C1243" s="1" t="s">
        <v>2137</v>
      </c>
      <c r="D1243" s="1" t="s">
        <v>2923</v>
      </c>
      <c r="E1243" s="1" t="s">
        <v>2714</v>
      </c>
      <c r="F1243" s="1" t="str">
        <f>"43216    "</f>
        <v xml:space="preserve">43216    </v>
      </c>
      <c r="G1243" s="1" t="str">
        <f>"8009221245"</f>
        <v>8009221245</v>
      </c>
      <c r="H1243" s="1" t="s">
        <v>2648</v>
      </c>
    </row>
    <row r="1244" spans="1:8" x14ac:dyDescent="0.25">
      <c r="A1244" s="1" t="s">
        <v>2447</v>
      </c>
      <c r="B1244" s="1" t="s">
        <v>2448</v>
      </c>
      <c r="C1244" s="1" t="str">
        <f>"101-49 WOOKHAVEN BLVD                             "</f>
        <v xml:space="preserve">101-49 WOOKHAVEN BLVD                             </v>
      </c>
      <c r="D1244" s="1" t="s">
        <v>2449</v>
      </c>
      <c r="E1244" s="1" t="s">
        <v>2773</v>
      </c>
      <c r="F1244" s="1" t="str">
        <f>"11416    "</f>
        <v xml:space="preserve">11416    </v>
      </c>
      <c r="G1244" s="1" t="str">
        <f>"7188455800"</f>
        <v>7188455800</v>
      </c>
      <c r="H1244" s="1" t="s">
        <v>2648</v>
      </c>
    </row>
    <row r="1245" spans="1:8" x14ac:dyDescent="0.25">
      <c r="A1245" s="1" t="s">
        <v>1639</v>
      </c>
      <c r="B1245" s="1" t="s">
        <v>1640</v>
      </c>
      <c r="C1245" s="1" t="str">
        <f>"30 W SUPERIOR ST                                  "</f>
        <v xml:space="preserve">30 W SUPERIOR ST                                  </v>
      </c>
      <c r="D1245" s="1" t="s">
        <v>2867</v>
      </c>
      <c r="E1245" s="1" t="s">
        <v>2902</v>
      </c>
      <c r="F1245" s="1" t="str">
        <f>"55802    "</f>
        <v xml:space="preserve">55802    </v>
      </c>
      <c r="G1245" s="1" t="str">
        <f>"8888128800"</f>
        <v>8888128800</v>
      </c>
      <c r="H1245" s="1" t="s">
        <v>2648</v>
      </c>
    </row>
    <row r="1246" spans="1:8" x14ac:dyDescent="0.25">
      <c r="A1246" s="1" t="s">
        <v>2369</v>
      </c>
      <c r="B1246" s="1" t="s">
        <v>2370</v>
      </c>
      <c r="C1246" s="1" t="s">
        <v>2371</v>
      </c>
      <c r="D1246" s="1" t="s">
        <v>2794</v>
      </c>
      <c r="E1246" s="1" t="s">
        <v>2744</v>
      </c>
      <c r="F1246" s="1" t="str">
        <f>"40522    "</f>
        <v xml:space="preserve">40522    </v>
      </c>
      <c r="G1246" s="1" t="str">
        <f>"8007872680"</f>
        <v>8007872680</v>
      </c>
      <c r="H1246" s="1" t="s">
        <v>2637</v>
      </c>
    </row>
    <row r="1247" spans="1:8" x14ac:dyDescent="0.25">
      <c r="A1247" s="1" t="s">
        <v>529</v>
      </c>
      <c r="B1247" s="1" t="s">
        <v>530</v>
      </c>
      <c r="C1247" s="1" t="s">
        <v>531</v>
      </c>
      <c r="D1247" s="1" t="s">
        <v>2083</v>
      </c>
      <c r="E1247" s="1" t="s">
        <v>2697</v>
      </c>
      <c r="F1247" s="1" t="str">
        <f>"18505    "</f>
        <v xml:space="preserve">18505    </v>
      </c>
      <c r="G1247" s="1" t="str">
        <f>"8666862506"</f>
        <v>8666862506</v>
      </c>
      <c r="H1247" s="1" t="s">
        <v>2795</v>
      </c>
    </row>
    <row r="1248" spans="1:8" x14ac:dyDescent="0.25">
      <c r="A1248" s="1" t="s">
        <v>188</v>
      </c>
      <c r="B1248" s="1" t="s">
        <v>189</v>
      </c>
      <c r="C1248" s="1" t="s">
        <v>2356</v>
      </c>
      <c r="D1248" s="1" t="s">
        <v>2357</v>
      </c>
      <c r="E1248" s="1" t="s">
        <v>2663</v>
      </c>
      <c r="F1248" s="1" t="str">
        <f>"91723    "</f>
        <v xml:space="preserve">91723    </v>
      </c>
      <c r="G1248" s="1" t="str">
        <f>"8005738597"</f>
        <v>8005738597</v>
      </c>
      <c r="H1248" s="1" t="s">
        <v>2795</v>
      </c>
    </row>
    <row r="1249" spans="1:8" x14ac:dyDescent="0.25">
      <c r="A1249" s="1" t="s">
        <v>1780</v>
      </c>
      <c r="B1249" s="1" t="s">
        <v>1781</v>
      </c>
      <c r="C1249" s="1" t="s">
        <v>1782</v>
      </c>
      <c r="D1249" s="1" t="s">
        <v>1783</v>
      </c>
      <c r="E1249" s="1" t="s">
        <v>2773</v>
      </c>
      <c r="F1249" s="1" t="str">
        <f>"14231    "</f>
        <v xml:space="preserve">14231    </v>
      </c>
      <c r="G1249" s="1" t="str">
        <f>"8666178585"</f>
        <v>8666178585</v>
      </c>
      <c r="H1249" s="1" t="s">
        <v>2795</v>
      </c>
    </row>
    <row r="1250" spans="1:8" x14ac:dyDescent="0.25">
      <c r="A1250" s="1" t="s">
        <v>2608</v>
      </c>
      <c r="B1250" s="1" t="s">
        <v>2609</v>
      </c>
      <c r="C1250" s="1" t="str">
        <f>"120 5TH AVE                                       "</f>
        <v xml:space="preserve">120 5TH AVE                                       </v>
      </c>
      <c r="D1250" s="1" t="s">
        <v>3230</v>
      </c>
      <c r="E1250" s="1" t="s">
        <v>2697</v>
      </c>
      <c r="F1250" s="1" t="str">
        <f>"15222309 "</f>
        <v xml:space="preserve">15222309 </v>
      </c>
      <c r="G1250" s="1" t="str">
        <f>"8005473627"</f>
        <v>8005473627</v>
      </c>
      <c r="H1250" s="1" t="s">
        <v>2795</v>
      </c>
    </row>
    <row r="1251" spans="1:8" x14ac:dyDescent="0.25">
      <c r="A1251" s="1" t="s">
        <v>2974</v>
      </c>
      <c r="B1251" s="1" t="s">
        <v>2975</v>
      </c>
      <c r="C1251" s="1" t="s">
        <v>2976</v>
      </c>
      <c r="D1251" s="1" t="s">
        <v>2977</v>
      </c>
      <c r="E1251" s="1" t="s">
        <v>2858</v>
      </c>
      <c r="F1251" s="1" t="str">
        <f>"98124    "</f>
        <v xml:space="preserve">98124    </v>
      </c>
      <c r="G1251" s="1" t="str">
        <f>"8887674670"</f>
        <v>8887674670</v>
      </c>
      <c r="H1251" s="1" t="s">
        <v>2795</v>
      </c>
    </row>
    <row r="1252" spans="1:8" x14ac:dyDescent="0.25">
      <c r="A1252" s="1" t="s">
        <v>632</v>
      </c>
      <c r="B1252" s="1" t="s">
        <v>633</v>
      </c>
      <c r="C1252" s="1" t="s">
        <v>634</v>
      </c>
      <c r="D1252" s="1" t="s">
        <v>2705</v>
      </c>
      <c r="E1252" s="1" t="s">
        <v>2706</v>
      </c>
      <c r="F1252" s="1" t="str">
        <f>"462030519"</f>
        <v>462030519</v>
      </c>
      <c r="G1252" s="1" t="str">
        <f>"8887770204"</f>
        <v>8887770204</v>
      </c>
      <c r="H1252" s="1" t="s">
        <v>2795</v>
      </c>
    </row>
    <row r="1253" spans="1:8" x14ac:dyDescent="0.25">
      <c r="A1253" s="1" t="s">
        <v>1423</v>
      </c>
      <c r="B1253" s="1" t="s">
        <v>1424</v>
      </c>
      <c r="C1253" s="1" t="s">
        <v>1425</v>
      </c>
      <c r="D1253" s="1" t="s">
        <v>3278</v>
      </c>
      <c r="E1253" s="1" t="s">
        <v>2970</v>
      </c>
      <c r="F1253" s="1" t="str">
        <f>"37024    "</f>
        <v xml:space="preserve">37024    </v>
      </c>
      <c r="G1253" s="1" t="str">
        <f>"6153371300"</f>
        <v>6153371300</v>
      </c>
      <c r="H1253" s="1" t="s">
        <v>2795</v>
      </c>
    </row>
    <row r="1254" spans="1:8" x14ac:dyDescent="0.25">
      <c r="A1254" s="1" t="s">
        <v>949</v>
      </c>
      <c r="B1254" s="1" t="s">
        <v>1785</v>
      </c>
      <c r="C1254" s="1" t="s">
        <v>1786</v>
      </c>
      <c r="D1254" s="1" t="s">
        <v>1787</v>
      </c>
      <c r="E1254" s="1" t="s">
        <v>3164</v>
      </c>
      <c r="F1254" s="1" t="str">
        <f>"234661010"</f>
        <v>234661010</v>
      </c>
      <c r="G1254" s="1" t="str">
        <f>"8006004441"</f>
        <v>8006004441</v>
      </c>
      <c r="H1254" s="1" t="s">
        <v>3195</v>
      </c>
    </row>
    <row r="1255" spans="1:8" x14ac:dyDescent="0.25">
      <c r="A1255" s="1" t="s">
        <v>185</v>
      </c>
      <c r="B1255" s="1" t="s">
        <v>186</v>
      </c>
      <c r="C1255" s="1" t="s">
        <v>187</v>
      </c>
      <c r="D1255" s="1" t="s">
        <v>2981</v>
      </c>
      <c r="E1255" s="1" t="s">
        <v>2832</v>
      </c>
      <c r="F1255" s="1" t="str">
        <f>"33531    "</f>
        <v xml:space="preserve">33531    </v>
      </c>
      <c r="G1255" s="1" t="str">
        <f>"8662311821"</f>
        <v>8662311821</v>
      </c>
      <c r="H1255" s="1" t="s">
        <v>2795</v>
      </c>
    </row>
    <row r="1256" spans="1:8" x14ac:dyDescent="0.25">
      <c r="A1256" s="1" t="s">
        <v>1339</v>
      </c>
      <c r="B1256" s="1" t="s">
        <v>1340</v>
      </c>
      <c r="C1256" s="1" t="s">
        <v>2439</v>
      </c>
      <c r="D1256" s="1" t="s">
        <v>2195</v>
      </c>
      <c r="E1256" s="1" t="s">
        <v>2196</v>
      </c>
      <c r="F1256" s="1" t="str">
        <f>"891145645"</f>
        <v>891145645</v>
      </c>
      <c r="G1256" s="1" t="str">
        <f>"8882742207"</f>
        <v>8882742207</v>
      </c>
      <c r="H1256" s="1" t="s">
        <v>2795</v>
      </c>
    </row>
    <row r="1257" spans="1:8" x14ac:dyDescent="0.25">
      <c r="A1257" s="1" t="s">
        <v>537</v>
      </c>
      <c r="B1257" s="1" t="s">
        <v>538</v>
      </c>
      <c r="C1257" s="1" t="s">
        <v>539</v>
      </c>
      <c r="D1257" s="1" t="s">
        <v>2627</v>
      </c>
      <c r="E1257" s="1" t="s">
        <v>2773</v>
      </c>
      <c r="F1257" s="1" t="str">
        <f>"122110655"</f>
        <v>122110655</v>
      </c>
      <c r="G1257" s="1" t="str">
        <f>"8006855209"</f>
        <v>8006855209</v>
      </c>
      <c r="H1257" s="1" t="s">
        <v>2795</v>
      </c>
    </row>
    <row r="1258" spans="1:8" x14ac:dyDescent="0.25">
      <c r="A1258" s="1" t="s">
        <v>452</v>
      </c>
      <c r="B1258" s="1" t="s">
        <v>453</v>
      </c>
      <c r="C1258" s="1" t="str">
        <f>"1441 MAIN ST                                      "</f>
        <v xml:space="preserve">1441 MAIN ST                                      </v>
      </c>
      <c r="D1258" s="1" t="s">
        <v>2701</v>
      </c>
      <c r="E1258" s="1" t="s">
        <v>2660</v>
      </c>
      <c r="F1258" s="1" t="str">
        <f>"29210    "</f>
        <v xml:space="preserve">29210    </v>
      </c>
      <c r="G1258" s="1" t="str">
        <f>"8664336031"</f>
        <v>8664336031</v>
      </c>
      <c r="H1258" s="1" t="s">
        <v>3195</v>
      </c>
    </row>
    <row r="1259" spans="1:8" x14ac:dyDescent="0.25">
      <c r="A1259" s="1" t="s">
        <v>2978</v>
      </c>
      <c r="B1259" s="1" t="s">
        <v>2979</v>
      </c>
      <c r="C1259" s="1" t="s">
        <v>2980</v>
      </c>
      <c r="D1259" s="1" t="s">
        <v>2981</v>
      </c>
      <c r="E1259" s="1" t="s">
        <v>2832</v>
      </c>
      <c r="F1259" s="1" t="str">
        <f>"33622    "</f>
        <v xml:space="preserve">33622    </v>
      </c>
      <c r="G1259" s="1" t="str">
        <f>"8667691157"</f>
        <v>8667691157</v>
      </c>
      <c r="H1259" s="1" t="s">
        <v>2795</v>
      </c>
    </row>
    <row r="1260" spans="1:8" x14ac:dyDescent="0.25">
      <c r="A1260" s="1" t="s">
        <v>148</v>
      </c>
      <c r="B1260" s="1" t="s">
        <v>149</v>
      </c>
      <c r="C1260" s="1" t="s">
        <v>150</v>
      </c>
      <c r="D1260" s="1" t="s">
        <v>2118</v>
      </c>
      <c r="E1260" s="1" t="s">
        <v>2809</v>
      </c>
      <c r="F1260" s="1" t="str">
        <f>"852852174"</f>
        <v>852852174</v>
      </c>
      <c r="G1260" s="1" t="str">
        <f>"8005779410"</f>
        <v>8005779410</v>
      </c>
      <c r="H1260" s="1" t="s">
        <v>2795</v>
      </c>
    </row>
    <row r="1261" spans="1:8" x14ac:dyDescent="0.25">
      <c r="A1261" s="1" t="s">
        <v>2535</v>
      </c>
      <c r="B1261" s="1" t="s">
        <v>2536</v>
      </c>
      <c r="C1261" s="1" t="s">
        <v>2537</v>
      </c>
      <c r="D1261" s="1" t="s">
        <v>2652</v>
      </c>
      <c r="E1261" s="1" t="s">
        <v>2647</v>
      </c>
      <c r="F1261" s="1" t="str">
        <f>"21223    "</f>
        <v xml:space="preserve">21223    </v>
      </c>
      <c r="G1261" s="1" t="str">
        <f>"8005561570"</f>
        <v>8005561570</v>
      </c>
      <c r="H1261" s="1" t="s">
        <v>2795</v>
      </c>
    </row>
    <row r="1262" spans="1:8" x14ac:dyDescent="0.25">
      <c r="A1262" s="1" t="s">
        <v>190</v>
      </c>
      <c r="B1262" s="1" t="s">
        <v>191</v>
      </c>
      <c r="C1262" s="1" t="s">
        <v>192</v>
      </c>
      <c r="D1262" s="1" t="s">
        <v>1787</v>
      </c>
      <c r="E1262" s="1" t="s">
        <v>3164</v>
      </c>
      <c r="F1262" s="1" t="str">
        <f>"234661789"</f>
        <v>234661789</v>
      </c>
      <c r="G1262" s="1" t="str">
        <f>"8006004441"</f>
        <v>8006004441</v>
      </c>
      <c r="H1262" s="1" t="s">
        <v>2688</v>
      </c>
    </row>
    <row r="1263" spans="1:8" x14ac:dyDescent="0.25">
      <c r="A1263" s="1" t="s">
        <v>2146</v>
      </c>
      <c r="B1263" s="1" t="s">
        <v>2147</v>
      </c>
      <c r="C1263" s="1" t="s">
        <v>2148</v>
      </c>
      <c r="D1263" s="1" t="s">
        <v>2701</v>
      </c>
      <c r="E1263" s="1" t="s">
        <v>2660</v>
      </c>
      <c r="F1263" s="1" t="str">
        <f>"29210    "</f>
        <v xml:space="preserve">29210    </v>
      </c>
      <c r="G1263" s="1" t="str">
        <f>"8663213947"</f>
        <v>8663213947</v>
      </c>
      <c r="H1263" s="1" t="s">
        <v>2795</v>
      </c>
    </row>
    <row r="1264" spans="1:8" x14ac:dyDescent="0.25">
      <c r="A1264" s="1" t="s">
        <v>1788</v>
      </c>
      <c r="B1264" s="1" t="s">
        <v>1789</v>
      </c>
      <c r="C1264" s="1" t="s">
        <v>1790</v>
      </c>
      <c r="D1264" s="1" t="s">
        <v>2673</v>
      </c>
      <c r="E1264" s="1" t="s">
        <v>2674</v>
      </c>
      <c r="F1264" s="1" t="str">
        <f>"84131    "</f>
        <v xml:space="preserve">84131    </v>
      </c>
      <c r="G1264" s="1" t="str">
        <f>"8665798774"</f>
        <v>8665798774</v>
      </c>
      <c r="H1264" s="1" t="s">
        <v>2795</v>
      </c>
    </row>
    <row r="1265" spans="1:8" x14ac:dyDescent="0.25">
      <c r="A1265" s="1" t="s">
        <v>532</v>
      </c>
      <c r="B1265" s="1" t="s">
        <v>533</v>
      </c>
      <c r="C1265" s="1" t="s">
        <v>534</v>
      </c>
      <c r="D1265" s="1" t="s">
        <v>3180</v>
      </c>
      <c r="E1265" s="1" t="s">
        <v>2773</v>
      </c>
      <c r="F1265" s="1" t="str">
        <f>"15692    "</f>
        <v xml:space="preserve">15692    </v>
      </c>
      <c r="G1265" s="1" t="str">
        <f>"8006171114"</f>
        <v>8006171114</v>
      </c>
      <c r="H1265" s="1" t="s">
        <v>2795</v>
      </c>
    </row>
    <row r="1266" spans="1:8" x14ac:dyDescent="0.25">
      <c r="A1266" s="1" t="s">
        <v>2149</v>
      </c>
      <c r="B1266" s="1" t="s">
        <v>2150</v>
      </c>
      <c r="C1266" s="1" t="s">
        <v>2151</v>
      </c>
      <c r="D1266" s="1" t="s">
        <v>2701</v>
      </c>
      <c r="E1266" s="1" t="s">
        <v>2660</v>
      </c>
      <c r="F1266" s="1" t="str">
        <f>"29204    "</f>
        <v xml:space="preserve">29204    </v>
      </c>
      <c r="G1266" s="1" t="str">
        <f>"8037888562"</f>
        <v>8037888562</v>
      </c>
      <c r="H1266" s="1" t="s">
        <v>2795</v>
      </c>
    </row>
    <row r="1267" spans="1:8" x14ac:dyDescent="0.25">
      <c r="A1267" s="1" t="s">
        <v>1082</v>
      </c>
      <c r="B1267" s="1" t="s">
        <v>1083</v>
      </c>
      <c r="C1267" s="1" t="s">
        <v>1084</v>
      </c>
      <c r="D1267" s="1" t="s">
        <v>2743</v>
      </c>
      <c r="E1267" s="1" t="s">
        <v>2744</v>
      </c>
      <c r="F1267" s="1" t="str">
        <f>"402337180"</f>
        <v>402337180</v>
      </c>
      <c r="G1267" s="1" t="str">
        <f>"8882909160"</f>
        <v>8882909160</v>
      </c>
      <c r="H1267" s="1" t="s">
        <v>2795</v>
      </c>
    </row>
    <row r="1268" spans="1:8" x14ac:dyDescent="0.25">
      <c r="A1268" s="1" t="s">
        <v>2</v>
      </c>
      <c r="B1268" s="1" t="s">
        <v>3</v>
      </c>
      <c r="C1268" s="1" t="str">
        <f>"140 STONE RIDGE DR                                "</f>
        <v xml:space="preserve">140 STONE RIDGE DR                                </v>
      </c>
      <c r="D1268" s="1" t="s">
        <v>2701</v>
      </c>
      <c r="E1268" s="1" t="s">
        <v>2660</v>
      </c>
      <c r="F1268" s="1" t="str">
        <f>"29210    "</f>
        <v xml:space="preserve">29210    </v>
      </c>
      <c r="G1268" s="1" t="str">
        <f>"8668022474"</f>
        <v>8668022474</v>
      </c>
      <c r="H1268" s="1" t="s">
        <v>3195</v>
      </c>
    </row>
    <row r="1269" spans="1:8" x14ac:dyDescent="0.25">
      <c r="A1269" s="1" t="s">
        <v>1791</v>
      </c>
      <c r="B1269" s="1" t="s">
        <v>1792</v>
      </c>
      <c r="C1269" s="1" t="s">
        <v>1793</v>
      </c>
      <c r="D1269" s="1" t="s">
        <v>2834</v>
      </c>
      <c r="E1269" s="1" t="s">
        <v>2832</v>
      </c>
      <c r="F1269" s="1" t="str">
        <f>"32231    "</f>
        <v xml:space="preserve">32231    </v>
      </c>
      <c r="G1269" s="1" t="str">
        <f>"8773522583"</f>
        <v>8773522583</v>
      </c>
      <c r="H1269" s="1" t="s">
        <v>2795</v>
      </c>
    </row>
    <row r="1270" spans="1:8" x14ac:dyDescent="0.25">
      <c r="A1270" s="1" t="s">
        <v>2455</v>
      </c>
      <c r="B1270" s="1" t="s">
        <v>2456</v>
      </c>
      <c r="C1270" s="1" t="s">
        <v>2457</v>
      </c>
      <c r="D1270" s="1" t="s">
        <v>3157</v>
      </c>
      <c r="E1270" s="1" t="s">
        <v>2970</v>
      </c>
      <c r="F1270" s="1" t="str">
        <f>"372024070"</f>
        <v>372024070</v>
      </c>
      <c r="G1270" s="1" t="str">
        <f>"8007437141"</f>
        <v>8007437141</v>
      </c>
      <c r="H1270" s="1" t="s">
        <v>2795</v>
      </c>
    </row>
    <row r="1271" spans="1:8" x14ac:dyDescent="0.25">
      <c r="A1271" s="1" t="s">
        <v>821</v>
      </c>
      <c r="B1271" s="1" t="s">
        <v>822</v>
      </c>
      <c r="C1271" s="1" t="s">
        <v>823</v>
      </c>
      <c r="D1271" s="1" t="s">
        <v>2752</v>
      </c>
      <c r="E1271" s="1" t="s">
        <v>2697</v>
      </c>
      <c r="F1271" s="1" t="str">
        <f>"191017799"</f>
        <v>191017799</v>
      </c>
      <c r="G1271" s="1" t="str">
        <f>"8002273116"</f>
        <v>8002273116</v>
      </c>
      <c r="H1271" s="1" t="s">
        <v>2795</v>
      </c>
    </row>
    <row r="1272" spans="1:8" x14ac:dyDescent="0.25">
      <c r="A1272" s="1" t="s">
        <v>1087</v>
      </c>
      <c r="B1272" s="1" t="s">
        <v>1088</v>
      </c>
      <c r="C1272" s="1" t="s">
        <v>1089</v>
      </c>
      <c r="D1272" s="1" t="s">
        <v>1090</v>
      </c>
      <c r="E1272" s="1" t="s">
        <v>2644</v>
      </c>
      <c r="F1272" s="1" t="str">
        <f>"488540318"</f>
        <v>488540318</v>
      </c>
      <c r="G1272" s="1" t="str">
        <f>"8002480457"</f>
        <v>8002480457</v>
      </c>
      <c r="H1272" s="1" t="s">
        <v>2637</v>
      </c>
    </row>
    <row r="1273" spans="1:8" x14ac:dyDescent="0.25">
      <c r="A1273" s="1" t="s">
        <v>2293</v>
      </c>
      <c r="B1273" s="1" t="s">
        <v>2294</v>
      </c>
      <c r="C1273" s="1" t="s">
        <v>2295</v>
      </c>
      <c r="D1273" s="1" t="s">
        <v>2296</v>
      </c>
      <c r="E1273" s="1" t="s">
        <v>2636</v>
      </c>
      <c r="F1273" s="1" t="str">
        <f>"750269025"</f>
        <v>750269025</v>
      </c>
      <c r="G1273" s="1" t="str">
        <f>"8662705223"</f>
        <v>8662705223</v>
      </c>
      <c r="H1273" s="1" t="s">
        <v>2795</v>
      </c>
    </row>
    <row r="1274" spans="1:8" x14ac:dyDescent="0.25">
      <c r="A1274" s="1" t="s">
        <v>1784</v>
      </c>
      <c r="B1274" s="1" t="s">
        <v>1785</v>
      </c>
      <c r="C1274" s="1" t="s">
        <v>1786</v>
      </c>
      <c r="D1274" s="1" t="s">
        <v>1787</v>
      </c>
      <c r="E1274" s="1" t="s">
        <v>3164</v>
      </c>
      <c r="F1274" s="1" t="str">
        <f>"234661010"</f>
        <v>234661010</v>
      </c>
      <c r="G1274" s="1" t="str">
        <f>"8006004441"</f>
        <v>8006004441</v>
      </c>
      <c r="H1274" s="1" t="s">
        <v>3195</v>
      </c>
    </row>
    <row r="1275" spans="1:8" x14ac:dyDescent="0.25">
      <c r="A1275" s="1" t="s">
        <v>749</v>
      </c>
      <c r="B1275" s="1" t="s">
        <v>750</v>
      </c>
      <c r="C1275" s="1" t="s">
        <v>2637</v>
      </c>
      <c r="D1275" s="1" t="s">
        <v>2637</v>
      </c>
      <c r="E1275" s="1" t="s">
        <v>2637</v>
      </c>
      <c r="F1275" s="1" t="s">
        <v>2637</v>
      </c>
      <c r="G1275" s="1" t="s">
        <v>2637</v>
      </c>
      <c r="H1275" s="1" t="s">
        <v>751</v>
      </c>
    </row>
    <row r="1276" spans="1:8" x14ac:dyDescent="0.25">
      <c r="A1276" s="1" t="s">
        <v>535</v>
      </c>
      <c r="B1276" s="1" t="s">
        <v>536</v>
      </c>
      <c r="C1276" s="1" t="str">
        <f>"1201 MAIN ST. STE 970                             "</f>
        <v xml:space="preserve">1201 MAIN ST. STE 970                             </v>
      </c>
      <c r="D1276" s="1" t="s">
        <v>2701</v>
      </c>
      <c r="E1276" s="1" t="s">
        <v>2660</v>
      </c>
      <c r="F1276" s="1" t="str">
        <f>"29201    "</f>
        <v xml:space="preserve">29201    </v>
      </c>
      <c r="G1276" s="1" t="str">
        <f>"8032516630"</f>
        <v>8032516630</v>
      </c>
      <c r="H1276" s="1" t="s">
        <v>3105</v>
      </c>
    </row>
    <row r="1277" spans="1:8" x14ac:dyDescent="0.25">
      <c r="A1277" s="1" t="s">
        <v>1267</v>
      </c>
      <c r="B1277" s="1" t="s">
        <v>1702</v>
      </c>
      <c r="C1277" s="1" t="s">
        <v>3194</v>
      </c>
      <c r="D1277" s="1" t="s">
        <v>2791</v>
      </c>
      <c r="E1277" s="1" t="s">
        <v>2744</v>
      </c>
      <c r="F1277" s="1" t="str">
        <f>"40742    "</f>
        <v xml:space="preserve">40742    </v>
      </c>
      <c r="G1277" s="1" t="str">
        <f>"8882762020"</f>
        <v>8882762020</v>
      </c>
      <c r="H1277" s="1" t="s">
        <v>3105</v>
      </c>
    </row>
    <row r="1278" spans="1:8" x14ac:dyDescent="0.25">
      <c r="A1278" s="1" t="s">
        <v>3103</v>
      </c>
      <c r="B1278" s="1" t="s">
        <v>3104</v>
      </c>
      <c r="C1278" s="1" t="str">
        <f>"250 BERRYHILL RD                                  "</f>
        <v xml:space="preserve">250 BERRYHILL RD                                  </v>
      </c>
      <c r="D1278" s="1" t="s">
        <v>2701</v>
      </c>
      <c r="E1278" s="1" t="s">
        <v>2660</v>
      </c>
      <c r="F1278" s="1" t="str">
        <f>"29210    "</f>
        <v xml:space="preserve">29210    </v>
      </c>
      <c r="G1278" s="1" t="str">
        <f>"8037985852"</f>
        <v>8037985852</v>
      </c>
      <c r="H1278" s="1" t="s">
        <v>3105</v>
      </c>
    </row>
    <row r="1279" spans="1:8" x14ac:dyDescent="0.25">
      <c r="A1279" s="1" t="s">
        <v>358</v>
      </c>
      <c r="B1279" s="1" t="s">
        <v>1785</v>
      </c>
      <c r="C1279" s="1" t="s">
        <v>1786</v>
      </c>
      <c r="D1279" s="1" t="s">
        <v>1787</v>
      </c>
      <c r="E1279" s="1" t="s">
        <v>3164</v>
      </c>
      <c r="F1279" s="1" t="str">
        <f>"234661010"</f>
        <v>234661010</v>
      </c>
      <c r="G1279" s="1" t="str">
        <f>"8006004441"</f>
        <v>8006004441</v>
      </c>
      <c r="H1279" s="1" t="s">
        <v>2637</v>
      </c>
    </row>
    <row r="1280" spans="1:8" x14ac:dyDescent="0.25">
      <c r="A1280" s="1" t="s">
        <v>3106</v>
      </c>
      <c r="B1280" s="1" t="s">
        <v>3107</v>
      </c>
      <c r="C1280" s="1" t="str">
        <f>"1441 MAIN ST                                      "</f>
        <v xml:space="preserve">1441 MAIN ST                                      </v>
      </c>
      <c r="D1280" s="1" t="s">
        <v>2701</v>
      </c>
      <c r="E1280" s="1" t="s">
        <v>2660</v>
      </c>
      <c r="F1280" s="1" t="str">
        <f>"29210    "</f>
        <v xml:space="preserve">29210    </v>
      </c>
      <c r="G1280" s="1" t="str">
        <f>"8664336041"</f>
        <v>8664336041</v>
      </c>
      <c r="H1280" s="1" t="s">
        <v>2637</v>
      </c>
    </row>
    <row r="1281" spans="1:8" x14ac:dyDescent="0.25">
      <c r="A1281" s="1" t="s">
        <v>111</v>
      </c>
      <c r="B1281" s="1" t="s">
        <v>112</v>
      </c>
      <c r="C1281" s="1" t="str">
        <f>"140 STONE RIDGE DR                                "</f>
        <v xml:space="preserve">140 STONE RIDGE DR                                </v>
      </c>
      <c r="D1281" s="1" t="s">
        <v>2701</v>
      </c>
      <c r="E1281" s="1" t="s">
        <v>2660</v>
      </c>
      <c r="F1281" s="1" t="str">
        <f>"29210    "</f>
        <v xml:space="preserve">29210    </v>
      </c>
      <c r="G1281" s="1" t="str">
        <f>"8668022474"</f>
        <v>8668022474</v>
      </c>
      <c r="H1281" s="1" t="s">
        <v>2637</v>
      </c>
    </row>
    <row r="1282" spans="1:8" x14ac:dyDescent="0.25">
      <c r="A1282" s="1" t="s">
        <v>2929</v>
      </c>
      <c r="B1282" s="1" t="s">
        <v>2650</v>
      </c>
      <c r="C1282" s="1" t="s">
        <v>2930</v>
      </c>
      <c r="D1282" s="1" t="s">
        <v>2794</v>
      </c>
      <c r="E1282" s="1" t="s">
        <v>2744</v>
      </c>
      <c r="F1282" s="1" t="str">
        <f>"405124115"</f>
        <v>405124115</v>
      </c>
      <c r="G1282" s="1" t="str">
        <f>"8005244555"</f>
        <v>8005244555</v>
      </c>
      <c r="H1282" s="1" t="s">
        <v>2637</v>
      </c>
    </row>
    <row r="1283" spans="1:8" x14ac:dyDescent="0.25">
      <c r="A1283" s="1" t="s">
        <v>1459</v>
      </c>
      <c r="B1283" s="1" t="s">
        <v>1460</v>
      </c>
      <c r="C1283" s="1" t="s">
        <v>1461</v>
      </c>
      <c r="D1283" s="1" t="s">
        <v>2923</v>
      </c>
      <c r="E1283" s="1" t="s">
        <v>2681</v>
      </c>
      <c r="F1283" s="1" t="str">
        <f>"319089907"</f>
        <v>319089907</v>
      </c>
      <c r="G1283" s="1" t="str">
        <f>"8004412273"</f>
        <v>8004412273</v>
      </c>
      <c r="H1283" s="1" t="s">
        <v>1462</v>
      </c>
    </row>
    <row r="1284" spans="1:8" x14ac:dyDescent="0.25">
      <c r="A1284" s="1" t="s">
        <v>948</v>
      </c>
      <c r="B1284" s="1" t="s">
        <v>1460</v>
      </c>
      <c r="C1284" s="1" t="s">
        <v>1461</v>
      </c>
      <c r="D1284" s="1" t="s">
        <v>2923</v>
      </c>
      <c r="E1284" s="1" t="s">
        <v>2681</v>
      </c>
      <c r="F1284" s="1" t="str">
        <f>"319089907"</f>
        <v>319089907</v>
      </c>
      <c r="G1284" s="1" t="str">
        <f>"8004412273"</f>
        <v>8004412273</v>
      </c>
      <c r="H1284" s="1" t="s">
        <v>2578</v>
      </c>
    </row>
    <row r="1285" spans="1:8" x14ac:dyDescent="0.25">
      <c r="A1285" s="1" t="s">
        <v>1733</v>
      </c>
      <c r="B1285" s="1" t="s">
        <v>1734</v>
      </c>
      <c r="C1285" s="1" t="s">
        <v>1461</v>
      </c>
      <c r="D1285" s="1" t="s">
        <v>2923</v>
      </c>
      <c r="E1285" s="1" t="s">
        <v>2681</v>
      </c>
      <c r="F1285" s="1" t="str">
        <f>"319086007"</f>
        <v>319086007</v>
      </c>
      <c r="G1285" s="1" t="str">
        <f>"4048428000"</f>
        <v>4048428000</v>
      </c>
      <c r="H1285" s="1" t="str">
        <f>" FOR GEORGIA STATE EMPLOYEES USE CARRIER 419 GEORGIA STATE HEALTH   BENEFIT PLAN                                                            "</f>
        <v xml:space="preserve"> FOR GEORGIA STATE EMPLOYEES USE CARRIER 419 GEORGIA STATE HEALTH   BENEFIT PLAN                                                            </v>
      </c>
    </row>
    <row r="1286" spans="1:8" x14ac:dyDescent="0.25">
      <c r="A1286" s="1" t="s">
        <v>3108</v>
      </c>
      <c r="B1286" s="1" t="s">
        <v>3109</v>
      </c>
      <c r="C1286" s="1" t="s">
        <v>3110</v>
      </c>
      <c r="D1286" s="1" t="s">
        <v>2985</v>
      </c>
      <c r="E1286" s="1" t="s">
        <v>2636</v>
      </c>
      <c r="F1286" s="1" t="str">
        <f>"78265    "</f>
        <v xml:space="preserve">78265    </v>
      </c>
      <c r="G1286" s="1" t="str">
        <f>"4048428000"</f>
        <v>4048428000</v>
      </c>
      <c r="H1286" s="1" t="s">
        <v>2637</v>
      </c>
    </row>
    <row r="1287" spans="1:8" x14ac:dyDescent="0.25">
      <c r="A1287" s="1" t="s">
        <v>2512</v>
      </c>
      <c r="B1287" s="1" t="s">
        <v>2034</v>
      </c>
      <c r="C1287" s="1" t="s">
        <v>2513</v>
      </c>
      <c r="D1287" s="1" t="s">
        <v>2676</v>
      </c>
      <c r="E1287" s="1" t="s">
        <v>2677</v>
      </c>
      <c r="F1287" s="1" t="str">
        <f>"27702    "</f>
        <v xml:space="preserve">27702    </v>
      </c>
      <c r="G1287" s="1" t="str">
        <f>"8002144844"</f>
        <v>8002144844</v>
      </c>
      <c r="H1287" s="1" t="s">
        <v>2637</v>
      </c>
    </row>
    <row r="1288" spans="1:8" x14ac:dyDescent="0.25">
      <c r="A1288" s="1" t="s">
        <v>2033</v>
      </c>
      <c r="B1288" s="1" t="s">
        <v>2034</v>
      </c>
      <c r="C1288" s="1" t="s">
        <v>2035</v>
      </c>
      <c r="D1288" s="1" t="s">
        <v>2036</v>
      </c>
      <c r="E1288" s="1" t="s">
        <v>2677</v>
      </c>
      <c r="F1288" s="1" t="str">
        <f>"271022100"</f>
        <v>271022100</v>
      </c>
      <c r="G1288" s="1" t="str">
        <f>"9194897431"</f>
        <v>9194897431</v>
      </c>
      <c r="H1288" s="1" t="s">
        <v>2637</v>
      </c>
    </row>
    <row r="1289" spans="1:8" x14ac:dyDescent="0.25">
      <c r="A1289" s="1" t="s">
        <v>1569</v>
      </c>
      <c r="B1289" s="1" t="s">
        <v>1570</v>
      </c>
      <c r="C1289" s="1" t="s">
        <v>1571</v>
      </c>
      <c r="D1289" s="1" t="s">
        <v>2834</v>
      </c>
      <c r="E1289" s="1" t="s">
        <v>2832</v>
      </c>
      <c r="F1289" s="1" t="str">
        <f>"322310014"</f>
        <v>322310014</v>
      </c>
      <c r="G1289" s="1" t="str">
        <f>"8007272227"</f>
        <v>8007272227</v>
      </c>
      <c r="H1289" s="1" t="s">
        <v>2637</v>
      </c>
    </row>
    <row r="1290" spans="1:8" x14ac:dyDescent="0.25">
      <c r="A1290" s="1" t="s">
        <v>658</v>
      </c>
      <c r="B1290" s="1" t="s">
        <v>659</v>
      </c>
      <c r="C1290" s="1" t="s">
        <v>660</v>
      </c>
      <c r="D1290" s="1" t="s">
        <v>2772</v>
      </c>
      <c r="E1290" s="1" t="s">
        <v>2773</v>
      </c>
      <c r="F1290" s="1" t="str">
        <f>"10008    "</f>
        <v xml:space="preserve">10008    </v>
      </c>
      <c r="G1290" s="1" t="str">
        <f>"8003429816"</f>
        <v>8003429816</v>
      </c>
      <c r="H1290" s="1" t="s">
        <v>2637</v>
      </c>
    </row>
    <row r="1291" spans="1:8" x14ac:dyDescent="0.25">
      <c r="A1291" s="1" t="s">
        <v>1537</v>
      </c>
      <c r="B1291" s="1" t="s">
        <v>1538</v>
      </c>
      <c r="C1291" s="1" t="s">
        <v>1539</v>
      </c>
      <c r="D1291" s="1" t="s">
        <v>1540</v>
      </c>
      <c r="E1291" s="1" t="s">
        <v>3164</v>
      </c>
      <c r="F1291" s="1" t="str">
        <f>"23279    "</f>
        <v xml:space="preserve">23279    </v>
      </c>
      <c r="G1291" s="1" t="str">
        <f>"8009916061"</f>
        <v>8009916061</v>
      </c>
      <c r="H1291" s="1" t="s">
        <v>2637</v>
      </c>
    </row>
    <row r="1292" spans="1:8" x14ac:dyDescent="0.25">
      <c r="A1292" s="1" t="s">
        <v>710</v>
      </c>
      <c r="B1292" s="1" t="s">
        <v>2637</v>
      </c>
      <c r="C1292" s="1" t="s">
        <v>2637</v>
      </c>
      <c r="D1292" s="1" t="s">
        <v>2637</v>
      </c>
      <c r="E1292" s="1" t="s">
        <v>2637</v>
      </c>
      <c r="F1292" s="1" t="s">
        <v>2637</v>
      </c>
      <c r="G1292" s="1" t="s">
        <v>2637</v>
      </c>
      <c r="H1292" s="1" t="s">
        <v>2637</v>
      </c>
    </row>
    <row r="1293" spans="1:8" x14ac:dyDescent="0.25">
      <c r="A1293" s="1" t="s">
        <v>3181</v>
      </c>
      <c r="B1293" s="1" t="s">
        <v>3182</v>
      </c>
      <c r="C1293" s="1" t="s">
        <v>3183</v>
      </c>
      <c r="D1293" s="1" t="s">
        <v>3166</v>
      </c>
      <c r="E1293" s="1" t="s">
        <v>2667</v>
      </c>
      <c r="F1293" s="1" t="str">
        <f>"53201    "</f>
        <v xml:space="preserve">53201    </v>
      </c>
      <c r="G1293" s="1" t="str">
        <f>"4142246100"</f>
        <v>4142246100</v>
      </c>
      <c r="H1293" s="1" t="s">
        <v>2637</v>
      </c>
    </row>
    <row r="1294" spans="1:8" x14ac:dyDescent="0.25">
      <c r="A1294" s="1" t="s">
        <v>2649</v>
      </c>
      <c r="B1294" s="1" t="s">
        <v>2650</v>
      </c>
      <c r="C1294" s="1" t="s">
        <v>2651</v>
      </c>
      <c r="D1294" s="1" t="s">
        <v>2652</v>
      </c>
      <c r="E1294" s="1" t="s">
        <v>2647</v>
      </c>
      <c r="F1294" s="1" t="str">
        <f>"21204    "</f>
        <v xml:space="preserve">21204    </v>
      </c>
      <c r="G1294" s="1" t="str">
        <f>"8005244555"</f>
        <v>8005244555</v>
      </c>
      <c r="H1294" s="1" t="s">
        <v>2653</v>
      </c>
    </row>
    <row r="1295" spans="1:8" x14ac:dyDescent="0.25">
      <c r="A1295" s="1" t="s">
        <v>1595</v>
      </c>
      <c r="B1295" s="1" t="s">
        <v>1596</v>
      </c>
      <c r="C1295" s="1" t="s">
        <v>1597</v>
      </c>
      <c r="D1295" s="1" t="s">
        <v>1598</v>
      </c>
      <c r="E1295" s="1" t="s">
        <v>2697</v>
      </c>
      <c r="F1295" s="1" t="str">
        <f>"17089    "</f>
        <v xml:space="preserve">17089    </v>
      </c>
      <c r="G1295" s="1" t="str">
        <f>"8006373493"</f>
        <v>8006373493</v>
      </c>
      <c r="H1295" s="1" t="s">
        <v>2637</v>
      </c>
    </row>
    <row r="1296" spans="1:8" x14ac:dyDescent="0.25">
      <c r="A1296" s="1" t="s">
        <v>1163</v>
      </c>
      <c r="B1296" s="1" t="s">
        <v>1164</v>
      </c>
      <c r="C1296" s="1" t="s">
        <v>1165</v>
      </c>
      <c r="D1296" s="1" t="s">
        <v>2126</v>
      </c>
      <c r="E1296" s="1" t="s">
        <v>2127</v>
      </c>
      <c r="F1296" s="1" t="str">
        <f>"97207    "</f>
        <v xml:space="preserve">97207    </v>
      </c>
      <c r="G1296" s="1" t="str">
        <f>"5032255221"</f>
        <v>5032255221</v>
      </c>
      <c r="H1296" s="1" t="s">
        <v>2637</v>
      </c>
    </row>
    <row r="1297" spans="1:8" x14ac:dyDescent="0.25">
      <c r="A1297" s="1" t="s">
        <v>1509</v>
      </c>
      <c r="B1297" s="1" t="s">
        <v>1510</v>
      </c>
      <c r="C1297" s="1" t="s">
        <v>2543</v>
      </c>
      <c r="D1297" s="1" t="s">
        <v>1511</v>
      </c>
      <c r="E1297" s="1" t="s">
        <v>2127</v>
      </c>
      <c r="F1297" s="1" t="str">
        <f>"97309    "</f>
        <v xml:space="preserve">97309    </v>
      </c>
      <c r="G1297" s="1" t="str">
        <f>"8884371508"</f>
        <v>8884371508</v>
      </c>
      <c r="H1297" s="1" t="s">
        <v>1512</v>
      </c>
    </row>
    <row r="1298" spans="1:8" x14ac:dyDescent="0.25">
      <c r="A1298" s="1" t="s">
        <v>1268</v>
      </c>
      <c r="B1298" s="1" t="s">
        <v>1510</v>
      </c>
      <c r="C1298" s="1" t="s">
        <v>1269</v>
      </c>
      <c r="D1298" s="1" t="s">
        <v>2544</v>
      </c>
      <c r="E1298" s="1" t="s">
        <v>2127</v>
      </c>
      <c r="F1298" s="1" t="str">
        <f>"97309    "</f>
        <v xml:space="preserve">97309    </v>
      </c>
      <c r="G1298" s="1" t="str">
        <f>"8884371508"</f>
        <v>8884371508</v>
      </c>
      <c r="H1298" s="1" t="s">
        <v>1270</v>
      </c>
    </row>
    <row r="1299" spans="1:8" x14ac:dyDescent="0.25">
      <c r="A1299" s="1" t="s">
        <v>1254</v>
      </c>
      <c r="B1299" s="1" t="s">
        <v>1255</v>
      </c>
      <c r="C1299" s="1" t="s">
        <v>1256</v>
      </c>
      <c r="D1299" s="1" t="s">
        <v>2199</v>
      </c>
      <c r="E1299" s="1" t="s">
        <v>2200</v>
      </c>
      <c r="F1299" s="1" t="str">
        <f>"19899    "</f>
        <v xml:space="preserve">19899    </v>
      </c>
      <c r="G1299" s="1" t="str">
        <f>"3024210260"</f>
        <v>3024210260</v>
      </c>
      <c r="H1299" s="1" t="s">
        <v>2637</v>
      </c>
    </row>
    <row r="1300" spans="1:8" x14ac:dyDescent="0.25">
      <c r="A1300" s="1" t="s">
        <v>9</v>
      </c>
      <c r="B1300" s="1" t="s">
        <v>10</v>
      </c>
      <c r="C1300" s="1" t="s">
        <v>11</v>
      </c>
      <c r="D1300" s="1" t="s">
        <v>2042</v>
      </c>
      <c r="E1300" s="1" t="s">
        <v>3118</v>
      </c>
      <c r="F1300" s="1" t="str">
        <f>"022986020"</f>
        <v>022986020</v>
      </c>
      <c r="G1300" s="1" t="str">
        <f>"8002535210"</f>
        <v>8002535210</v>
      </c>
      <c r="H1300" s="1" t="s">
        <v>2637</v>
      </c>
    </row>
    <row r="1301" spans="1:8" x14ac:dyDescent="0.25">
      <c r="A1301" s="1" t="s">
        <v>2039</v>
      </c>
      <c r="B1301" s="1" t="s">
        <v>2040</v>
      </c>
      <c r="C1301" s="1" t="s">
        <v>2041</v>
      </c>
      <c r="D1301" s="1" t="s">
        <v>2042</v>
      </c>
      <c r="E1301" s="1" t="s">
        <v>3118</v>
      </c>
      <c r="F1301" s="1" t="str">
        <f>"02298    "</f>
        <v xml:space="preserve">02298    </v>
      </c>
      <c r="G1301" s="1" t="str">
        <f>"800253521-"</f>
        <v>800253521-</v>
      </c>
      <c r="H1301" s="1" t="s">
        <v>2043</v>
      </c>
    </row>
    <row r="1302" spans="1:8" x14ac:dyDescent="0.25">
      <c r="A1302" s="1" t="s">
        <v>2868</v>
      </c>
      <c r="B1302" s="1" t="s">
        <v>2869</v>
      </c>
      <c r="C1302" s="1" t="s">
        <v>2870</v>
      </c>
      <c r="D1302" s="1" t="s">
        <v>2871</v>
      </c>
      <c r="E1302" s="1" t="s">
        <v>2636</v>
      </c>
      <c r="F1302" s="1" t="str">
        <f>"752660044"</f>
        <v>752660044</v>
      </c>
      <c r="G1302" s="1" t="str">
        <f>"8004510287"</f>
        <v>8004510287</v>
      </c>
      <c r="H1302" s="1" t="s">
        <v>2637</v>
      </c>
    </row>
    <row r="1303" spans="1:8" x14ac:dyDescent="0.25">
      <c r="A1303" s="1" t="s">
        <v>1723</v>
      </c>
      <c r="B1303" s="1" t="s">
        <v>2869</v>
      </c>
      <c r="C1303" s="1" t="s">
        <v>1724</v>
      </c>
      <c r="D1303" s="1" t="s">
        <v>2871</v>
      </c>
      <c r="E1303" s="1" t="s">
        <v>2636</v>
      </c>
      <c r="F1303" s="1" t="str">
        <f>"75266    "</f>
        <v xml:space="preserve">75266    </v>
      </c>
      <c r="G1303" s="1" t="str">
        <f>"8004947218"</f>
        <v>8004947218</v>
      </c>
      <c r="H1303" s="1" t="s">
        <v>2637</v>
      </c>
    </row>
    <row r="1304" spans="1:8" x14ac:dyDescent="0.25">
      <c r="A1304" s="1" t="s">
        <v>2576</v>
      </c>
      <c r="B1304" s="1" t="s">
        <v>2298</v>
      </c>
      <c r="C1304" s="1" t="s">
        <v>2577</v>
      </c>
      <c r="D1304" s="1" t="s">
        <v>3085</v>
      </c>
      <c r="E1304" s="1" t="s">
        <v>3086</v>
      </c>
      <c r="F1304" s="1" t="str">
        <f>"35298    "</f>
        <v xml:space="preserve">35298    </v>
      </c>
      <c r="G1304" s="1" t="str">
        <f>"8005176425"</f>
        <v>8005176425</v>
      </c>
      <c r="H1304" s="1" t="s">
        <v>2578</v>
      </c>
    </row>
    <row r="1305" spans="1:8" x14ac:dyDescent="0.25">
      <c r="A1305" s="1" t="s">
        <v>2297</v>
      </c>
      <c r="B1305" s="1" t="s">
        <v>2298</v>
      </c>
      <c r="C1305" s="1" t="s">
        <v>2299</v>
      </c>
      <c r="D1305" s="1" t="s">
        <v>3085</v>
      </c>
      <c r="E1305" s="1" t="s">
        <v>3086</v>
      </c>
      <c r="F1305" s="1" t="str">
        <f>"352830389"</f>
        <v>352830389</v>
      </c>
      <c r="G1305" s="1" t="str">
        <f>"8005176425"</f>
        <v>8005176425</v>
      </c>
      <c r="H1305" s="1" t="s">
        <v>2637</v>
      </c>
    </row>
    <row r="1306" spans="1:8" x14ac:dyDescent="0.25">
      <c r="A1306" s="1" t="s">
        <v>3043</v>
      </c>
      <c r="B1306" s="1" t="s">
        <v>3044</v>
      </c>
      <c r="C1306" s="1" t="str">
        <f>"1 CAMERON HILL CIRCLE                             "</f>
        <v xml:space="preserve">1 CAMERON HILL CIRCLE                             </v>
      </c>
      <c r="D1306" s="1" t="s">
        <v>3045</v>
      </c>
      <c r="E1306" s="1" t="s">
        <v>2970</v>
      </c>
      <c r="F1306" s="1" t="str">
        <f>"374020002"</f>
        <v>374020002</v>
      </c>
      <c r="G1306" s="1" t="str">
        <f>"8004689736"</f>
        <v>8004689736</v>
      </c>
      <c r="H1306" s="1" t="s">
        <v>2637</v>
      </c>
    </row>
    <row r="1307" spans="1:8" x14ac:dyDescent="0.25">
      <c r="A1307" s="1" t="s">
        <v>302</v>
      </c>
      <c r="B1307" s="1" t="s">
        <v>3044</v>
      </c>
      <c r="C1307" s="1" t="str">
        <f>"1 CAMERON HILL CIRCLE SUITE 0002                  "</f>
        <v xml:space="preserve">1 CAMERON HILL CIRCLE SUITE 0002                  </v>
      </c>
      <c r="D1307" s="1" t="s">
        <v>3045</v>
      </c>
      <c r="E1307" s="1" t="s">
        <v>2970</v>
      </c>
      <c r="F1307" s="1" t="str">
        <f>"374020002"</f>
        <v>374020002</v>
      </c>
      <c r="G1307" s="1" t="str">
        <f>"8005659140"</f>
        <v>8005659140</v>
      </c>
      <c r="H1307" s="1" t="s">
        <v>2637</v>
      </c>
    </row>
    <row r="1308" spans="1:8" x14ac:dyDescent="0.25">
      <c r="A1308" s="1" t="s">
        <v>1309</v>
      </c>
      <c r="B1308" s="1" t="s">
        <v>1005</v>
      </c>
      <c r="C1308" s="1" t="str">
        <f>"600 LAFAYETTE EAST                                "</f>
        <v xml:space="preserve">600 LAFAYETTE EAST                                </v>
      </c>
      <c r="D1308" s="1" t="s">
        <v>2657</v>
      </c>
      <c r="E1308" s="1" t="s">
        <v>2644</v>
      </c>
      <c r="F1308" s="1" t="str">
        <f>"482262998"</f>
        <v>482262998</v>
      </c>
      <c r="G1308" s="1" t="str">
        <f>"8004820898"</f>
        <v>8004820898</v>
      </c>
      <c r="H1308" s="1" t="s">
        <v>2637</v>
      </c>
    </row>
    <row r="1309" spans="1:8" x14ac:dyDescent="0.25">
      <c r="A1309" s="1" t="s">
        <v>1004</v>
      </c>
      <c r="B1309" s="1" t="s">
        <v>1005</v>
      </c>
      <c r="C1309" s="1" t="s">
        <v>1006</v>
      </c>
      <c r="D1309" s="1" t="s">
        <v>2657</v>
      </c>
      <c r="E1309" s="1" t="s">
        <v>2644</v>
      </c>
      <c r="F1309" s="1" t="str">
        <f>"48231    "</f>
        <v xml:space="preserve">48231    </v>
      </c>
      <c r="G1309" s="1" t="str">
        <f>"8888268152"</f>
        <v>8888268152</v>
      </c>
      <c r="H1309" s="1" t="s">
        <v>2637</v>
      </c>
    </row>
    <row r="1310" spans="1:8" x14ac:dyDescent="0.25">
      <c r="A1310" s="1" t="s">
        <v>1928</v>
      </c>
      <c r="B1310" s="1" t="s">
        <v>1929</v>
      </c>
      <c r="C1310" s="1" t="str">
        <f>"2060 EAST 9TH STREET                              "</f>
        <v xml:space="preserve">2060 EAST 9TH STREET                              </v>
      </c>
      <c r="D1310" s="1" t="s">
        <v>2713</v>
      </c>
      <c r="E1310" s="1" t="s">
        <v>2714</v>
      </c>
      <c r="F1310" s="1" t="str">
        <f>"441151355"</f>
        <v>441151355</v>
      </c>
      <c r="G1310" s="1" t="str">
        <f>"2166877000"</f>
        <v>2166877000</v>
      </c>
      <c r="H1310" s="1" t="s">
        <v>2637</v>
      </c>
    </row>
    <row r="1311" spans="1:8" x14ac:dyDescent="0.25">
      <c r="A1311" s="1" t="s">
        <v>2817</v>
      </c>
      <c r="B1311" s="1" t="s">
        <v>2818</v>
      </c>
      <c r="C1311" s="1" t="s">
        <v>2819</v>
      </c>
      <c r="D1311" s="1" t="s">
        <v>2820</v>
      </c>
      <c r="E1311" s="1" t="s">
        <v>2821</v>
      </c>
      <c r="F1311" s="1" t="str">
        <f>"07102    "</f>
        <v xml:space="preserve">07102    </v>
      </c>
      <c r="G1311" s="1" t="str">
        <f>"8003552583"</f>
        <v>8003552583</v>
      </c>
      <c r="H1311" s="1" t="s">
        <v>2822</v>
      </c>
    </row>
    <row r="1312" spans="1:8" x14ac:dyDescent="0.25">
      <c r="A1312" s="1" t="s">
        <v>1557</v>
      </c>
      <c r="B1312" s="1" t="s">
        <v>2818</v>
      </c>
      <c r="C1312" s="1" t="s">
        <v>1558</v>
      </c>
      <c r="D1312" s="1" t="s">
        <v>2901</v>
      </c>
      <c r="E1312" s="1" t="s">
        <v>2902</v>
      </c>
      <c r="F1312" s="1" t="str">
        <f>"55440    "</f>
        <v xml:space="preserve">55440    </v>
      </c>
      <c r="G1312" s="1" t="str">
        <f>"8003552583"</f>
        <v>8003552583</v>
      </c>
      <c r="H1312" s="1" t="s">
        <v>2822</v>
      </c>
    </row>
    <row r="1313" spans="1:8" x14ac:dyDescent="0.25">
      <c r="A1313" s="1" t="s">
        <v>39</v>
      </c>
      <c r="B1313" s="1" t="s">
        <v>355</v>
      </c>
      <c r="C1313" s="1" t="s">
        <v>40</v>
      </c>
      <c r="D1313" s="1" t="s">
        <v>2154</v>
      </c>
      <c r="E1313" s="1" t="s">
        <v>2786</v>
      </c>
      <c r="F1313" s="1" t="str">
        <f>"60680    "</f>
        <v xml:space="preserve">60680    </v>
      </c>
      <c r="G1313" s="1" t="str">
        <f>"8006348644"</f>
        <v>8006348644</v>
      </c>
      <c r="H1313" s="1" t="s">
        <v>2637</v>
      </c>
    </row>
    <row r="1314" spans="1:8" x14ac:dyDescent="0.25">
      <c r="A1314" s="1" t="s">
        <v>354</v>
      </c>
      <c r="B1314" s="1" t="s">
        <v>355</v>
      </c>
      <c r="C1314" s="1" t="s">
        <v>356</v>
      </c>
      <c r="D1314" s="1" t="s">
        <v>357</v>
      </c>
      <c r="E1314" s="1" t="s">
        <v>2786</v>
      </c>
      <c r="F1314" s="1" t="str">
        <f>"62223    "</f>
        <v xml:space="preserve">62223    </v>
      </c>
      <c r="G1314" s="1" t="str">
        <f>"8668260914"</f>
        <v>8668260914</v>
      </c>
      <c r="H1314" s="1" t="s">
        <v>2637</v>
      </c>
    </row>
    <row r="1315" spans="1:8" x14ac:dyDescent="0.25">
      <c r="A1315" s="1" t="s">
        <v>1567</v>
      </c>
      <c r="B1315" s="1" t="s">
        <v>1568</v>
      </c>
      <c r="C1315" s="1" t="str">
        <f>"9901 LINN STATION ROAD                            "</f>
        <v xml:space="preserve">9901 LINN STATION ROAD                            </v>
      </c>
      <c r="D1315" s="1" t="s">
        <v>2743</v>
      </c>
      <c r="E1315" s="1" t="s">
        <v>2744</v>
      </c>
      <c r="F1315" s="1" t="str">
        <f>"40223    "</f>
        <v xml:space="preserve">40223    </v>
      </c>
      <c r="G1315" s="1" t="str">
        <f>"5024232011"</f>
        <v>5024232011</v>
      </c>
      <c r="H1315" s="1" t="s">
        <v>2637</v>
      </c>
    </row>
    <row r="1316" spans="1:8" x14ac:dyDescent="0.25">
      <c r="A1316" s="1" t="s">
        <v>1127</v>
      </c>
      <c r="B1316" s="1" t="s">
        <v>1128</v>
      </c>
      <c r="C1316" s="1" t="s">
        <v>1129</v>
      </c>
      <c r="D1316" s="1" t="s">
        <v>2627</v>
      </c>
      <c r="E1316" s="1" t="s">
        <v>2773</v>
      </c>
      <c r="F1316" s="1" t="str">
        <f>"12212    "</f>
        <v xml:space="preserve">12212    </v>
      </c>
      <c r="G1316" s="1" t="str">
        <f>"5184534600"</f>
        <v>5184534600</v>
      </c>
      <c r="H1316" s="1" t="s">
        <v>2637</v>
      </c>
    </row>
    <row r="1317" spans="1:8" x14ac:dyDescent="0.25">
      <c r="A1317" s="1" t="s">
        <v>3198</v>
      </c>
      <c r="B1317" s="1" t="s">
        <v>3199</v>
      </c>
      <c r="C1317" s="1" t="s">
        <v>3200</v>
      </c>
      <c r="D1317" s="1" t="s">
        <v>2874</v>
      </c>
      <c r="E1317" s="1" t="s">
        <v>2663</v>
      </c>
      <c r="F1317" s="1" t="str">
        <f>"90060    "</f>
        <v xml:space="preserve">90060    </v>
      </c>
      <c r="G1317" s="1" t="str">
        <f>"8888878969"</f>
        <v>8888878969</v>
      </c>
      <c r="H1317" s="1" t="s">
        <v>2637</v>
      </c>
    </row>
    <row r="1318" spans="1:8" x14ac:dyDescent="0.25">
      <c r="A1318" s="1" t="s">
        <v>1519</v>
      </c>
      <c r="B1318" s="1" t="s">
        <v>1520</v>
      </c>
      <c r="C1318" s="1" t="s">
        <v>1521</v>
      </c>
      <c r="D1318" s="1" t="s">
        <v>2923</v>
      </c>
      <c r="E1318" s="1" t="s">
        <v>2714</v>
      </c>
      <c r="F1318" s="1" t="str">
        <f>"43216    "</f>
        <v xml:space="preserve">43216    </v>
      </c>
      <c r="G1318" s="1" t="str">
        <f>"6144645870"</f>
        <v>6144645870</v>
      </c>
      <c r="H1318" s="1" t="s">
        <v>2637</v>
      </c>
    </row>
    <row r="1319" spans="1:8" x14ac:dyDescent="0.25">
      <c r="A1319" s="1" t="s">
        <v>372</v>
      </c>
      <c r="B1319" s="1" t="s">
        <v>2387</v>
      </c>
      <c r="C1319" s="1" t="s">
        <v>373</v>
      </c>
      <c r="D1319" s="1" t="s">
        <v>2717</v>
      </c>
      <c r="E1319" s="1" t="s">
        <v>2681</v>
      </c>
      <c r="F1319" s="1" t="str">
        <f>"30348    "</f>
        <v xml:space="preserve">30348    </v>
      </c>
      <c r="G1319" s="1" t="str">
        <f>"8006224822"</f>
        <v>8006224822</v>
      </c>
      <c r="H1319" s="1" t="s">
        <v>2637</v>
      </c>
    </row>
    <row r="1320" spans="1:8" x14ac:dyDescent="0.25">
      <c r="A1320" s="1" t="s">
        <v>2386</v>
      </c>
      <c r="B1320" s="1" t="s">
        <v>2387</v>
      </c>
      <c r="C1320" s="1" t="s">
        <v>3110</v>
      </c>
      <c r="D1320" s="1" t="s">
        <v>2985</v>
      </c>
      <c r="E1320" s="1" t="s">
        <v>2636</v>
      </c>
      <c r="F1320" s="1" t="str">
        <f>"78265    "</f>
        <v xml:space="preserve">78265    </v>
      </c>
      <c r="G1320" s="1" t="str">
        <f>"8006224822"</f>
        <v>8006224822</v>
      </c>
      <c r="H1320" s="1" t="s">
        <v>2637</v>
      </c>
    </row>
    <row r="1321" spans="1:8" x14ac:dyDescent="0.25">
      <c r="A1321" s="1" t="s">
        <v>2450</v>
      </c>
      <c r="B1321" s="1" t="s">
        <v>2387</v>
      </c>
      <c r="C1321" s="1" t="s">
        <v>2451</v>
      </c>
      <c r="D1321" s="1" t="s">
        <v>2743</v>
      </c>
      <c r="E1321" s="1" t="s">
        <v>2744</v>
      </c>
      <c r="F1321" s="1" t="str">
        <f>"40233    "</f>
        <v xml:space="preserve">40233    </v>
      </c>
      <c r="G1321" s="1" t="str">
        <f>"8006224822"</f>
        <v>8006224822</v>
      </c>
      <c r="H1321" s="1" t="s">
        <v>2637</v>
      </c>
    </row>
    <row r="1322" spans="1:8" x14ac:dyDescent="0.25">
      <c r="A1322" s="1" t="s">
        <v>383</v>
      </c>
      <c r="B1322" s="1" t="s">
        <v>384</v>
      </c>
      <c r="C1322" s="1" t="s">
        <v>385</v>
      </c>
      <c r="D1322" s="1" t="s">
        <v>3160</v>
      </c>
      <c r="E1322" s="1" t="s">
        <v>3161</v>
      </c>
      <c r="F1322" s="1" t="str">
        <f>"39208    "</f>
        <v xml:space="preserve">39208    </v>
      </c>
      <c r="G1322" s="1" t="str">
        <f>"6019323800"</f>
        <v>6019323800</v>
      </c>
      <c r="H1322" s="1" t="s">
        <v>2637</v>
      </c>
    </row>
    <row r="1323" spans="1:8" x14ac:dyDescent="0.25">
      <c r="A1323" s="1" t="s">
        <v>53</v>
      </c>
      <c r="B1323" s="1" t="s">
        <v>54</v>
      </c>
      <c r="C1323" s="1" t="s">
        <v>55</v>
      </c>
      <c r="D1323" s="1" t="s">
        <v>56</v>
      </c>
      <c r="E1323" s="1" t="s">
        <v>2631</v>
      </c>
      <c r="F1323" s="1" t="str">
        <f>"87125    "</f>
        <v xml:space="preserve">87125    </v>
      </c>
      <c r="G1323" s="1" t="str">
        <f>"8007113795"</f>
        <v>8007113795</v>
      </c>
      <c r="H1323" s="1" t="s">
        <v>2637</v>
      </c>
    </row>
    <row r="1324" spans="1:8" x14ac:dyDescent="0.25">
      <c r="A1324" s="1" t="s">
        <v>1572</v>
      </c>
      <c r="B1324" s="1" t="s">
        <v>1573</v>
      </c>
      <c r="C1324" s="1" t="str">
        <f>"550 12TH STREET SW                                "</f>
        <v xml:space="preserve">550 12TH STREET SW                                </v>
      </c>
      <c r="D1324" s="1" t="s">
        <v>2691</v>
      </c>
      <c r="E1324" s="1" t="s">
        <v>2692</v>
      </c>
      <c r="F1324" s="1" t="str">
        <f>"20024    "</f>
        <v xml:space="preserve">20024    </v>
      </c>
      <c r="G1324" s="1" t="str">
        <f>"2024798000"</f>
        <v>2024798000</v>
      </c>
      <c r="H1324" s="1" t="s">
        <v>2637</v>
      </c>
    </row>
    <row r="1325" spans="1:8" x14ac:dyDescent="0.25">
      <c r="A1325" s="1" t="s">
        <v>3035</v>
      </c>
      <c r="B1325" s="1" t="s">
        <v>3036</v>
      </c>
      <c r="C1325" s="1" t="s">
        <v>3037</v>
      </c>
      <c r="D1325" s="1" t="s">
        <v>3038</v>
      </c>
      <c r="E1325" s="1" t="s">
        <v>3039</v>
      </c>
      <c r="F1325" s="1" t="str">
        <f>"009366068"</f>
        <v>009366068</v>
      </c>
      <c r="G1325" s="1" t="str">
        <f>"8097599898"</f>
        <v>8097599898</v>
      </c>
      <c r="H1325" s="1" t="s">
        <v>2637</v>
      </c>
    </row>
    <row r="1326" spans="1:8" x14ac:dyDescent="0.25">
      <c r="A1326" s="1" t="s">
        <v>2761</v>
      </c>
      <c r="B1326" s="1" t="s">
        <v>2762</v>
      </c>
      <c r="C1326" s="1" t="str">
        <f>"500 EXCHANGE STREET                               "</f>
        <v xml:space="preserve">500 EXCHANGE STREET                               </v>
      </c>
      <c r="D1326" s="1" t="s">
        <v>2763</v>
      </c>
      <c r="E1326" s="1" t="s">
        <v>2764</v>
      </c>
      <c r="F1326" s="1" t="str">
        <f>"02903    "</f>
        <v xml:space="preserve">02903    </v>
      </c>
      <c r="G1326" s="1" t="str">
        <f>"4018317300"</f>
        <v>4018317300</v>
      </c>
      <c r="H1326" s="1" t="s">
        <v>2637</v>
      </c>
    </row>
    <row r="1327" spans="1:8" x14ac:dyDescent="0.25">
      <c r="A1327" s="1" t="s">
        <v>1592</v>
      </c>
      <c r="B1327" s="1" t="s">
        <v>1593</v>
      </c>
      <c r="C1327" s="1" t="s">
        <v>1594</v>
      </c>
      <c r="D1327" s="1" t="s">
        <v>3289</v>
      </c>
      <c r="E1327" s="1" t="s">
        <v>2697</v>
      </c>
      <c r="F1327" s="1" t="str">
        <f>"171069352"</f>
        <v>171069352</v>
      </c>
      <c r="G1327" s="1" t="str">
        <f>"8002752583"</f>
        <v>8002752583</v>
      </c>
      <c r="H1327" s="1" t="s">
        <v>2637</v>
      </c>
    </row>
    <row r="1328" spans="1:8" x14ac:dyDescent="0.25">
      <c r="A1328" s="1" t="s">
        <v>1015</v>
      </c>
      <c r="B1328" s="1" t="s">
        <v>1016</v>
      </c>
      <c r="C1328" s="1" t="s">
        <v>1017</v>
      </c>
      <c r="D1328" s="1" t="s">
        <v>839</v>
      </c>
      <c r="E1328" s="1" t="s">
        <v>2952</v>
      </c>
      <c r="F1328" s="1" t="str">
        <f>"06473    "</f>
        <v xml:space="preserve">06473    </v>
      </c>
      <c r="G1328" s="1" t="str">
        <f>"2032394961"</f>
        <v>2032394961</v>
      </c>
      <c r="H1328" s="1" t="s">
        <v>2637</v>
      </c>
    </row>
    <row r="1329" spans="1:8" x14ac:dyDescent="0.25">
      <c r="A1329" s="1" t="s">
        <v>2940</v>
      </c>
      <c r="B1329" s="1" t="s">
        <v>2941</v>
      </c>
      <c r="C1329" s="1" t="s">
        <v>2942</v>
      </c>
      <c r="D1329" s="1" t="s">
        <v>2943</v>
      </c>
      <c r="E1329" s="1" t="s">
        <v>2944</v>
      </c>
      <c r="F1329" s="1" t="str">
        <f>"72203    "</f>
        <v xml:space="preserve">72203    </v>
      </c>
      <c r="G1329" s="1" t="str">
        <f>"5013782010"</f>
        <v>5013782010</v>
      </c>
      <c r="H1329" s="1" t="s">
        <v>2637</v>
      </c>
    </row>
    <row r="1330" spans="1:8" x14ac:dyDescent="0.25">
      <c r="A1330" s="1" t="s">
        <v>377</v>
      </c>
      <c r="B1330" s="1" t="s">
        <v>378</v>
      </c>
      <c r="C1330" s="1" t="s">
        <v>379</v>
      </c>
      <c r="D1330" s="1" t="s">
        <v>1783</v>
      </c>
      <c r="E1330" s="1" t="s">
        <v>2773</v>
      </c>
      <c r="F1330" s="1" t="str">
        <f>"142400080"</f>
        <v>142400080</v>
      </c>
      <c r="G1330" s="1" t="str">
        <f>"8008880757"</f>
        <v>8008880757</v>
      </c>
      <c r="H1330" s="1" t="s">
        <v>2637</v>
      </c>
    </row>
    <row r="1331" spans="1:8" x14ac:dyDescent="0.25">
      <c r="A1331" s="1" t="s">
        <v>2179</v>
      </c>
      <c r="B1331" s="1" t="s">
        <v>2180</v>
      </c>
      <c r="C1331" s="1" t="str">
        <f>"85 NORTH DANNY THOMAS BLVD                        "</f>
        <v xml:space="preserve">85 NORTH DANNY THOMAS BLVD                        </v>
      </c>
      <c r="D1331" s="1" t="s">
        <v>2181</v>
      </c>
      <c r="E1331" s="1" t="s">
        <v>2970</v>
      </c>
      <c r="F1331" s="1" t="str">
        <f>"38103    "</f>
        <v xml:space="preserve">38103    </v>
      </c>
      <c r="G1331" s="1" t="str">
        <f>"9015293111"</f>
        <v>9015293111</v>
      </c>
      <c r="H1331" s="1" t="s">
        <v>2637</v>
      </c>
    </row>
    <row r="1332" spans="1:8" x14ac:dyDescent="0.25">
      <c r="A1332" s="1" t="s">
        <v>1296</v>
      </c>
      <c r="B1332" s="1" t="s">
        <v>1297</v>
      </c>
      <c r="C1332" s="1" t="s">
        <v>1298</v>
      </c>
      <c r="D1332" s="1" t="s">
        <v>2730</v>
      </c>
      <c r="E1332" s="1" t="s">
        <v>2731</v>
      </c>
      <c r="F1332" s="1" t="str">
        <f>"708989029"</f>
        <v>708989029</v>
      </c>
      <c r="G1332" s="1" t="str">
        <f>"5042915370"</f>
        <v>5042915370</v>
      </c>
      <c r="H1332" s="1" t="s">
        <v>2637</v>
      </c>
    </row>
    <row r="1333" spans="1:8" x14ac:dyDescent="0.25">
      <c r="A1333" s="1" t="s">
        <v>2993</v>
      </c>
      <c r="B1333" s="1" t="s">
        <v>2994</v>
      </c>
      <c r="C1333" s="1" t="str">
        <f>"1133 SOUTHWEST TOPEKA BLVD.                       "</f>
        <v xml:space="preserve">1133 SOUTHWEST TOPEKA BLVD.                       </v>
      </c>
      <c r="D1333" s="1" t="s">
        <v>2995</v>
      </c>
      <c r="E1333" s="1" t="s">
        <v>2749</v>
      </c>
      <c r="F1333" s="1" t="str">
        <f>"66629    "</f>
        <v xml:space="preserve">66629    </v>
      </c>
      <c r="G1333" s="1" t="str">
        <f>"7852914180"</f>
        <v>7852914180</v>
      </c>
      <c r="H1333" s="1" t="s">
        <v>2637</v>
      </c>
    </row>
    <row r="1334" spans="1:8" x14ac:dyDescent="0.25">
      <c r="A1334" s="1" t="s">
        <v>1063</v>
      </c>
      <c r="B1334" s="1" t="s">
        <v>1064</v>
      </c>
      <c r="C1334" s="1" t="s">
        <v>1065</v>
      </c>
      <c r="D1334" s="1" t="s">
        <v>1066</v>
      </c>
      <c r="E1334" s="1" t="s">
        <v>2858</v>
      </c>
      <c r="F1334" s="1" t="str">
        <f>"99220    "</f>
        <v xml:space="preserve">99220    </v>
      </c>
      <c r="G1334" s="1" t="str">
        <f>"5095364900"</f>
        <v>5095364900</v>
      </c>
      <c r="H1334" s="1" t="s">
        <v>2637</v>
      </c>
    </row>
    <row r="1335" spans="1:8" x14ac:dyDescent="0.25">
      <c r="A1335" s="1" t="s">
        <v>95</v>
      </c>
      <c r="B1335" s="1" t="s">
        <v>3031</v>
      </c>
      <c r="C1335" s="1" t="s">
        <v>96</v>
      </c>
      <c r="D1335" s="1" t="s">
        <v>3033</v>
      </c>
      <c r="E1335" s="1" t="s">
        <v>3034</v>
      </c>
      <c r="F1335" s="1" t="str">
        <f>"57104    "</f>
        <v xml:space="preserve">57104    </v>
      </c>
      <c r="G1335" s="1" t="str">
        <f>"5152454500"</f>
        <v>5152454500</v>
      </c>
      <c r="H1335" s="1" t="s">
        <v>97</v>
      </c>
    </row>
    <row r="1336" spans="1:8" x14ac:dyDescent="0.25">
      <c r="A1336" s="1" t="s">
        <v>975</v>
      </c>
      <c r="B1336" s="1" t="s">
        <v>976</v>
      </c>
      <c r="C1336" s="1" t="s">
        <v>977</v>
      </c>
      <c r="D1336" s="1" t="s">
        <v>2472</v>
      </c>
      <c r="E1336" s="1" t="s">
        <v>2902</v>
      </c>
      <c r="F1336" s="1" t="str">
        <f>"55164    "</f>
        <v xml:space="preserve">55164    </v>
      </c>
      <c r="G1336" s="1" t="str">
        <f>"8003822000"</f>
        <v>8003822000</v>
      </c>
      <c r="H1336" s="1" t="s">
        <v>2637</v>
      </c>
    </row>
    <row r="1337" spans="1:8" x14ac:dyDescent="0.25">
      <c r="A1337" s="1" t="s">
        <v>1341</v>
      </c>
      <c r="B1337" s="1" t="s">
        <v>1342</v>
      </c>
      <c r="C1337" s="1" t="str">
        <f>"2 GANNETT DRIVE                                   "</f>
        <v xml:space="preserve">2 GANNETT DRIVE                                   </v>
      </c>
      <c r="D1337" s="1" t="s">
        <v>1343</v>
      </c>
      <c r="E1337" s="1" t="s">
        <v>1344</v>
      </c>
      <c r="F1337" s="1" t="str">
        <f>"041066911"</f>
        <v>041066911</v>
      </c>
      <c r="G1337" s="1" t="str">
        <f>"2077751550"</f>
        <v>2077751550</v>
      </c>
      <c r="H1337" s="1" t="s">
        <v>2637</v>
      </c>
    </row>
    <row r="1338" spans="1:8" x14ac:dyDescent="0.25">
      <c r="A1338" s="1" t="s">
        <v>1048</v>
      </c>
      <c r="B1338" s="1" t="s">
        <v>1049</v>
      </c>
      <c r="C1338" s="1" t="s">
        <v>1050</v>
      </c>
      <c r="D1338" s="1" t="s">
        <v>1051</v>
      </c>
      <c r="E1338" s="1" t="s">
        <v>2697</v>
      </c>
      <c r="F1338" s="1" t="str">
        <f>"170890173"</f>
        <v>170890173</v>
      </c>
      <c r="G1338" s="1" t="str">
        <f>"4125447000"</f>
        <v>4125447000</v>
      </c>
      <c r="H1338" s="1" t="s">
        <v>2637</v>
      </c>
    </row>
    <row r="1339" spans="1:8" x14ac:dyDescent="0.25">
      <c r="A1339" s="1" t="s">
        <v>3068</v>
      </c>
      <c r="B1339" s="1" t="s">
        <v>3069</v>
      </c>
      <c r="C1339" s="1" t="str">
        <f>"1351 WILLIAM HOWARD TAFT ROAD                     "</f>
        <v xml:space="preserve">1351 WILLIAM HOWARD TAFT ROAD                     </v>
      </c>
      <c r="D1339" s="1" t="s">
        <v>3070</v>
      </c>
      <c r="E1339" s="1" t="s">
        <v>2714</v>
      </c>
      <c r="F1339" s="1" t="str">
        <f>"45206    "</f>
        <v xml:space="preserve">45206    </v>
      </c>
      <c r="G1339" s="1" t="str">
        <f>"5132821016"</f>
        <v>5132821016</v>
      </c>
      <c r="H1339" s="1" t="s">
        <v>2735</v>
      </c>
    </row>
    <row r="1340" spans="1:8" x14ac:dyDescent="0.25">
      <c r="A1340" s="1" t="s">
        <v>3071</v>
      </c>
      <c r="B1340" s="1" t="s">
        <v>2637</v>
      </c>
      <c r="C1340" s="1" t="s">
        <v>2637</v>
      </c>
      <c r="D1340" s="1" t="s">
        <v>2637</v>
      </c>
      <c r="E1340" s="1" t="s">
        <v>2637</v>
      </c>
      <c r="F1340" s="1" t="s">
        <v>2637</v>
      </c>
      <c r="G1340" s="1" t="s">
        <v>2637</v>
      </c>
      <c r="H1340" s="1" t="s">
        <v>2637</v>
      </c>
    </row>
    <row r="1341" spans="1:8" x14ac:dyDescent="0.25">
      <c r="A1341" s="1" t="s">
        <v>1481</v>
      </c>
      <c r="B1341" s="1" t="s">
        <v>1482</v>
      </c>
      <c r="C1341" s="1" t="s">
        <v>1483</v>
      </c>
      <c r="D1341" s="1" t="s">
        <v>2891</v>
      </c>
      <c r="E1341" s="1" t="s">
        <v>2862</v>
      </c>
      <c r="F1341" s="1" t="str">
        <f>"681800001"</f>
        <v>681800001</v>
      </c>
      <c r="G1341" s="1" t="str">
        <f>"4023901820"</f>
        <v>4023901820</v>
      </c>
      <c r="H1341" s="1" t="s">
        <v>2637</v>
      </c>
    </row>
    <row r="1342" spans="1:8" x14ac:dyDescent="0.25">
      <c r="A1342" s="1" t="s">
        <v>2823</v>
      </c>
      <c r="B1342" s="1" t="s">
        <v>2824</v>
      </c>
      <c r="C1342" s="1" t="str">
        <f>"700 BROADWAY                                      "</f>
        <v xml:space="preserve">700 BROADWAY                                      </v>
      </c>
      <c r="D1342" s="1" t="s">
        <v>2825</v>
      </c>
      <c r="E1342" s="1" t="s">
        <v>2826</v>
      </c>
      <c r="F1342" s="1" t="str">
        <f>"80273    "</f>
        <v xml:space="preserve">80273    </v>
      </c>
      <c r="G1342" s="1" t="str">
        <f>"3038312131"</f>
        <v>3038312131</v>
      </c>
      <c r="H1342" s="1" t="s">
        <v>2637</v>
      </c>
    </row>
    <row r="1343" spans="1:8" x14ac:dyDescent="0.25">
      <c r="A1343" s="1" t="s">
        <v>1022</v>
      </c>
      <c r="B1343" s="1" t="s">
        <v>1023</v>
      </c>
      <c r="C1343" s="1" t="s">
        <v>1024</v>
      </c>
      <c r="D1343" s="1" t="s">
        <v>2673</v>
      </c>
      <c r="E1343" s="1" t="s">
        <v>2674</v>
      </c>
      <c r="F1343" s="1" t="str">
        <f>"841300270"</f>
        <v>841300270</v>
      </c>
      <c r="G1343" s="1" t="str">
        <f>"8013332100"</f>
        <v>8013332100</v>
      </c>
      <c r="H1343" s="1" t="s">
        <v>2637</v>
      </c>
    </row>
    <row r="1344" spans="1:8" x14ac:dyDescent="0.25">
      <c r="A1344" s="1" t="s">
        <v>1516</v>
      </c>
      <c r="B1344" s="1" t="s">
        <v>1517</v>
      </c>
      <c r="C1344" s="1" t="s">
        <v>1518</v>
      </c>
      <c r="D1344" s="1" t="s">
        <v>2776</v>
      </c>
      <c r="E1344" s="1" t="s">
        <v>2714</v>
      </c>
      <c r="F1344" s="1" t="str">
        <f>"43696    "</f>
        <v xml:space="preserve">43696    </v>
      </c>
      <c r="G1344" s="1" t="str">
        <f>"8003621279"</f>
        <v>8003621279</v>
      </c>
      <c r="H1344" s="1" t="s">
        <v>2637</v>
      </c>
    </row>
    <row r="1345" spans="1:8" x14ac:dyDescent="0.25">
      <c r="A1345" s="1" t="s">
        <v>2765</v>
      </c>
      <c r="B1345" s="1" t="s">
        <v>2766</v>
      </c>
      <c r="C1345" s="1" t="s">
        <v>2767</v>
      </c>
      <c r="D1345" s="1" t="s">
        <v>2768</v>
      </c>
      <c r="E1345" s="1" t="s">
        <v>2663</v>
      </c>
      <c r="F1345" s="1" t="str">
        <f>"959272590"</f>
        <v>959272590</v>
      </c>
      <c r="G1345" s="1" t="str">
        <f>"8882351765"</f>
        <v>8882351765</v>
      </c>
      <c r="H1345" s="1" t="s">
        <v>2637</v>
      </c>
    </row>
    <row r="1346" spans="1:8" x14ac:dyDescent="0.25">
      <c r="A1346" s="1" t="s">
        <v>3111</v>
      </c>
      <c r="B1346" s="1" t="s">
        <v>3112</v>
      </c>
      <c r="C1346" s="1" t="s">
        <v>3113</v>
      </c>
      <c r="D1346" s="1" t="s">
        <v>2768</v>
      </c>
      <c r="E1346" s="1" t="s">
        <v>2663</v>
      </c>
      <c r="F1346" s="1" t="str">
        <f>"959272590"</f>
        <v>959272590</v>
      </c>
      <c r="G1346" s="1" t="str">
        <f>"8887024171"</f>
        <v>8887024171</v>
      </c>
      <c r="H1346" s="1" t="s">
        <v>2637</v>
      </c>
    </row>
    <row r="1347" spans="1:8" x14ac:dyDescent="0.25">
      <c r="A1347" s="1" t="s">
        <v>137</v>
      </c>
      <c r="B1347" s="1" t="s">
        <v>2637</v>
      </c>
      <c r="C1347" s="1" t="s">
        <v>2637</v>
      </c>
      <c r="D1347" s="1" t="s">
        <v>2637</v>
      </c>
      <c r="E1347" s="1" t="s">
        <v>2637</v>
      </c>
      <c r="F1347" s="1" t="s">
        <v>2637</v>
      </c>
      <c r="G1347" s="1" t="s">
        <v>2637</v>
      </c>
      <c r="H1347" s="1" t="s">
        <v>2637</v>
      </c>
    </row>
    <row r="1348" spans="1:8" x14ac:dyDescent="0.25">
      <c r="A1348" s="1" t="s">
        <v>2339</v>
      </c>
      <c r="B1348" s="1" t="s">
        <v>2637</v>
      </c>
      <c r="C1348" s="1" t="s">
        <v>2637</v>
      </c>
      <c r="D1348" s="1" t="s">
        <v>2637</v>
      </c>
      <c r="E1348" s="1" t="s">
        <v>2637</v>
      </c>
      <c r="F1348" s="1" t="s">
        <v>2637</v>
      </c>
      <c r="G1348" s="1" t="s">
        <v>2637</v>
      </c>
      <c r="H1348" s="1" t="s">
        <v>2637</v>
      </c>
    </row>
    <row r="1349" spans="1:8" x14ac:dyDescent="0.25">
      <c r="A1349" s="1" t="s">
        <v>2270</v>
      </c>
      <c r="B1349" s="1" t="s">
        <v>2637</v>
      </c>
      <c r="C1349" s="1" t="s">
        <v>2637</v>
      </c>
      <c r="D1349" s="1" t="s">
        <v>2637</v>
      </c>
      <c r="E1349" s="1" t="s">
        <v>2637</v>
      </c>
      <c r="F1349" s="1" t="s">
        <v>2637</v>
      </c>
      <c r="G1349" s="1" t="s">
        <v>2637</v>
      </c>
      <c r="H1349" s="1" t="s">
        <v>2637</v>
      </c>
    </row>
    <row r="1350" spans="1:8" x14ac:dyDescent="0.25">
      <c r="A1350" s="1" t="s">
        <v>1467</v>
      </c>
      <c r="B1350" s="1" t="s">
        <v>2637</v>
      </c>
      <c r="C1350" s="1" t="s">
        <v>2637</v>
      </c>
      <c r="D1350" s="1" t="s">
        <v>2637</v>
      </c>
      <c r="E1350" s="1" t="s">
        <v>2637</v>
      </c>
      <c r="F1350" s="1" t="s">
        <v>2637</v>
      </c>
      <c r="G1350" s="1" t="s">
        <v>2637</v>
      </c>
      <c r="H1350" s="1" t="s">
        <v>2637</v>
      </c>
    </row>
    <row r="1351" spans="1:8" x14ac:dyDescent="0.25">
      <c r="A1351" s="1" t="s">
        <v>3030</v>
      </c>
      <c r="B1351" s="1" t="s">
        <v>3031</v>
      </c>
      <c r="C1351" s="1" t="s">
        <v>3032</v>
      </c>
      <c r="D1351" s="1" t="s">
        <v>3033</v>
      </c>
      <c r="E1351" s="1" t="s">
        <v>3034</v>
      </c>
      <c r="F1351" s="1" t="str">
        <f>"571175023"</f>
        <v>571175023</v>
      </c>
      <c r="G1351" s="1" t="str">
        <f>"8005268995"</f>
        <v>8005268995</v>
      </c>
      <c r="H1351" s="1" t="s">
        <v>2637</v>
      </c>
    </row>
    <row r="1352" spans="1:8" x14ac:dyDescent="0.25">
      <c r="A1352" s="1" t="s">
        <v>2990</v>
      </c>
      <c r="B1352" s="1" t="s">
        <v>2991</v>
      </c>
      <c r="C1352" s="1" t="s">
        <v>2992</v>
      </c>
      <c r="D1352" s="1" t="s">
        <v>2685</v>
      </c>
      <c r="E1352" s="1" t="s">
        <v>2670</v>
      </c>
      <c r="F1352" s="1" t="str">
        <f>"641416169"</f>
        <v>641416169</v>
      </c>
      <c r="G1352" s="1" t="str">
        <f>"8008926048"</f>
        <v>8008926048</v>
      </c>
      <c r="H1352" s="1" t="s">
        <v>2637</v>
      </c>
    </row>
    <row r="1353" spans="1:8" x14ac:dyDescent="0.25">
      <c r="A1353" s="1" t="s">
        <v>2258</v>
      </c>
      <c r="B1353" s="1" t="s">
        <v>2637</v>
      </c>
      <c r="C1353" s="1" t="s">
        <v>2637</v>
      </c>
      <c r="D1353" s="1" t="s">
        <v>2637</v>
      </c>
      <c r="E1353" s="1" t="s">
        <v>2637</v>
      </c>
      <c r="F1353" s="1" t="s">
        <v>2637</v>
      </c>
      <c r="G1353" s="1" t="s">
        <v>2637</v>
      </c>
      <c r="H1353" s="1" t="s">
        <v>2637</v>
      </c>
    </row>
    <row r="1354" spans="1:8" x14ac:dyDescent="0.25">
      <c r="A1354" s="1" t="s">
        <v>2352</v>
      </c>
      <c r="B1354" s="1" t="s">
        <v>2637</v>
      </c>
      <c r="C1354" s="1" t="s">
        <v>2637</v>
      </c>
      <c r="D1354" s="1" t="s">
        <v>2637</v>
      </c>
      <c r="E1354" s="1" t="s">
        <v>2637</v>
      </c>
      <c r="F1354" s="1" t="s">
        <v>2637</v>
      </c>
      <c r="G1354" s="1" t="s">
        <v>2637</v>
      </c>
      <c r="H1354" s="1" t="s">
        <v>2637</v>
      </c>
    </row>
    <row r="1355" spans="1:8" x14ac:dyDescent="0.25">
      <c r="A1355" s="1" t="s">
        <v>1566</v>
      </c>
      <c r="B1355" s="1" t="s">
        <v>2637</v>
      </c>
      <c r="C1355" s="1" t="s">
        <v>2637</v>
      </c>
      <c r="D1355" s="1" t="s">
        <v>2637</v>
      </c>
      <c r="E1355" s="1" t="s">
        <v>2637</v>
      </c>
      <c r="F1355" s="1" t="s">
        <v>2637</v>
      </c>
      <c r="G1355" s="1" t="s">
        <v>2637</v>
      </c>
      <c r="H1355" s="1" t="s">
        <v>2637</v>
      </c>
    </row>
    <row r="1356" spans="1:8" x14ac:dyDescent="0.25">
      <c r="A1356" s="1" t="s">
        <v>3177</v>
      </c>
      <c r="B1356" s="1" t="s">
        <v>3178</v>
      </c>
      <c r="C1356" s="1" t="s">
        <v>3179</v>
      </c>
      <c r="D1356" s="1" t="s">
        <v>3180</v>
      </c>
      <c r="E1356" s="1" t="s">
        <v>2773</v>
      </c>
      <c r="F1356" s="1" t="str">
        <f>"14692    "</f>
        <v xml:space="preserve">14692    </v>
      </c>
      <c r="G1356" s="1" t="str">
        <f>"7163253630"</f>
        <v>7163253630</v>
      </c>
      <c r="H1356" s="1" t="s">
        <v>2637</v>
      </c>
    </row>
    <row r="1357" spans="1:8" x14ac:dyDescent="0.25">
      <c r="A1357" s="1" t="s">
        <v>888</v>
      </c>
      <c r="B1357" s="1" t="s">
        <v>889</v>
      </c>
      <c r="C1357" s="1" t="s">
        <v>890</v>
      </c>
      <c r="D1357" s="1" t="s">
        <v>727</v>
      </c>
      <c r="E1357" s="1" t="s">
        <v>2773</v>
      </c>
      <c r="F1357" s="1" t="str">
        <f>"132214809"</f>
        <v>132214809</v>
      </c>
      <c r="G1357" s="1" t="str">
        <f>"3154483801"</f>
        <v>3154483801</v>
      </c>
      <c r="H1357" s="1" t="s">
        <v>2637</v>
      </c>
    </row>
    <row r="1358" spans="1:8" x14ac:dyDescent="0.25">
      <c r="A1358" s="1" t="s">
        <v>1438</v>
      </c>
      <c r="B1358" s="1" t="s">
        <v>1439</v>
      </c>
      <c r="C1358" s="1" t="str">
        <f>"12 RHOADS DRIVE, UTICA BUSINESS DISTRICT          "</f>
        <v xml:space="preserve">12 RHOADS DRIVE, UTICA BUSINESS DISTRICT          </v>
      </c>
      <c r="D1358" s="1" t="s">
        <v>1440</v>
      </c>
      <c r="E1358" s="1" t="s">
        <v>2773</v>
      </c>
      <c r="F1358" s="1" t="str">
        <f>"13501    "</f>
        <v xml:space="preserve">13501    </v>
      </c>
      <c r="G1358" s="1" t="str">
        <f>"3157984238"</f>
        <v>3157984238</v>
      </c>
      <c r="H1358" s="1" t="s">
        <v>2637</v>
      </c>
    </row>
    <row r="1359" spans="1:8" x14ac:dyDescent="0.25">
      <c r="A1359" s="1" t="s">
        <v>421</v>
      </c>
      <c r="B1359" s="1" t="s">
        <v>2637</v>
      </c>
      <c r="C1359" s="1" t="s">
        <v>2637</v>
      </c>
      <c r="D1359" s="1" t="s">
        <v>2637</v>
      </c>
      <c r="E1359" s="1" t="s">
        <v>2637</v>
      </c>
      <c r="F1359" s="1" t="s">
        <v>2637</v>
      </c>
      <c r="G1359" s="1" t="s">
        <v>2637</v>
      </c>
      <c r="H1359" s="1" t="s">
        <v>2637</v>
      </c>
    </row>
    <row r="1360" spans="1:8" x14ac:dyDescent="0.25">
      <c r="A1360" s="1" t="s">
        <v>2842</v>
      </c>
      <c r="B1360" s="1" t="s">
        <v>2843</v>
      </c>
      <c r="C1360" s="1" t="str">
        <f>"4510 13TH AVE. SW                                 "</f>
        <v xml:space="preserve">4510 13TH AVE. SW                                 </v>
      </c>
      <c r="D1360" s="1" t="s">
        <v>2844</v>
      </c>
      <c r="E1360" s="1" t="s">
        <v>2845</v>
      </c>
      <c r="F1360" s="1" t="str">
        <f>"581210001"</f>
        <v>581210001</v>
      </c>
      <c r="G1360" s="1" t="str">
        <f>"8003682312"</f>
        <v>8003682312</v>
      </c>
      <c r="H1360" s="1" t="s">
        <v>2637</v>
      </c>
    </row>
    <row r="1361" spans="1:8" x14ac:dyDescent="0.25">
      <c r="A1361" s="1" t="s">
        <v>546</v>
      </c>
      <c r="B1361" s="1" t="s">
        <v>547</v>
      </c>
      <c r="C1361" s="1" t="s">
        <v>548</v>
      </c>
      <c r="D1361" s="1" t="s">
        <v>3289</v>
      </c>
      <c r="E1361" s="1" t="s">
        <v>2697</v>
      </c>
      <c r="F1361" s="1" t="str">
        <f>"171779503"</f>
        <v>171779503</v>
      </c>
      <c r="G1361" s="1" t="str">
        <f>"8009622242"</f>
        <v>8009622242</v>
      </c>
      <c r="H1361" s="1" t="s">
        <v>2637</v>
      </c>
    </row>
    <row r="1362" spans="1:8" x14ac:dyDescent="0.25">
      <c r="A1362" s="1" t="s">
        <v>722</v>
      </c>
      <c r="B1362" s="1" t="s">
        <v>723</v>
      </c>
      <c r="C1362" s="1" t="str">
        <f>"70 NORTH MAIN STREET                              "</f>
        <v xml:space="preserve">70 NORTH MAIN STREET                              </v>
      </c>
      <c r="D1362" s="1" t="s">
        <v>724</v>
      </c>
      <c r="E1362" s="1" t="s">
        <v>2697</v>
      </c>
      <c r="F1362" s="1" t="str">
        <f>"18711    "</f>
        <v xml:space="preserve">18711    </v>
      </c>
      <c r="G1362" s="1" t="str">
        <f>"8008298599"</f>
        <v>8008298599</v>
      </c>
      <c r="H1362" s="1" t="s">
        <v>2637</v>
      </c>
    </row>
    <row r="1363" spans="1:8" x14ac:dyDescent="0.25">
      <c r="A1363" s="1" t="s">
        <v>1649</v>
      </c>
      <c r="B1363" s="1" t="s">
        <v>1650</v>
      </c>
      <c r="C1363" s="1" t="s">
        <v>1651</v>
      </c>
      <c r="D1363" s="1" t="s">
        <v>2977</v>
      </c>
      <c r="E1363" s="1" t="s">
        <v>2858</v>
      </c>
      <c r="F1363" s="1" t="str">
        <f>"981119159"</f>
        <v>981119159</v>
      </c>
      <c r="G1363" s="1" t="str">
        <f>"8007221471"</f>
        <v>8007221471</v>
      </c>
      <c r="H1363" s="1" t="s">
        <v>2637</v>
      </c>
    </row>
    <row r="1364" spans="1:8" x14ac:dyDescent="0.25">
      <c r="A1364" s="1" t="s">
        <v>162</v>
      </c>
      <c r="B1364" s="1" t="s">
        <v>2637</v>
      </c>
      <c r="C1364" s="1" t="s">
        <v>2637</v>
      </c>
      <c r="D1364" s="1" t="s">
        <v>2637</v>
      </c>
      <c r="E1364" s="1" t="s">
        <v>2637</v>
      </c>
      <c r="F1364" s="1" t="s">
        <v>2637</v>
      </c>
      <c r="G1364" s="1" t="s">
        <v>2637</v>
      </c>
      <c r="H1364" s="1" t="s">
        <v>2637</v>
      </c>
    </row>
    <row r="1365" spans="1:8" x14ac:dyDescent="0.25">
      <c r="A1365" s="1" t="s">
        <v>44</v>
      </c>
      <c r="B1365" s="1" t="s">
        <v>45</v>
      </c>
      <c r="C1365" s="1" t="s">
        <v>46</v>
      </c>
      <c r="D1365" s="1" t="s">
        <v>3013</v>
      </c>
      <c r="E1365" s="1" t="s">
        <v>3014</v>
      </c>
      <c r="F1365" s="1" t="str">
        <f>"25325    "</f>
        <v xml:space="preserve">25325    </v>
      </c>
      <c r="G1365" s="1" t="str">
        <f>"3043477709"</f>
        <v>3043477709</v>
      </c>
      <c r="H1365" s="1" t="s">
        <v>2637</v>
      </c>
    </row>
    <row r="1366" spans="1:8" x14ac:dyDescent="0.25">
      <c r="A1366" s="1" t="s">
        <v>2618</v>
      </c>
      <c r="B1366" s="1" t="s">
        <v>2619</v>
      </c>
      <c r="C1366" s="1" t="s">
        <v>2620</v>
      </c>
      <c r="D1366" s="1" t="s">
        <v>2621</v>
      </c>
      <c r="E1366" s="1" t="s">
        <v>3014</v>
      </c>
      <c r="F1366" s="1" t="str">
        <f>"26102    "</f>
        <v xml:space="preserve">26102    </v>
      </c>
      <c r="G1366" s="1" t="str">
        <f>"3044247700"</f>
        <v>3044247700</v>
      </c>
      <c r="H1366" s="1" t="s">
        <v>2637</v>
      </c>
    </row>
    <row r="1367" spans="1:8" x14ac:dyDescent="0.25">
      <c r="A1367" s="1" t="s">
        <v>840</v>
      </c>
      <c r="B1367" s="1" t="s">
        <v>2637</v>
      </c>
      <c r="C1367" s="1" t="s">
        <v>2637</v>
      </c>
      <c r="D1367" s="1" t="s">
        <v>2637</v>
      </c>
      <c r="E1367" s="1" t="s">
        <v>2637</v>
      </c>
      <c r="F1367" s="1" t="s">
        <v>2637</v>
      </c>
      <c r="G1367" s="1" t="s">
        <v>2637</v>
      </c>
      <c r="H1367" s="1" t="s">
        <v>2637</v>
      </c>
    </row>
    <row r="1368" spans="1:8" x14ac:dyDescent="0.25">
      <c r="A1368" s="1" t="s">
        <v>656</v>
      </c>
      <c r="B1368" s="1" t="s">
        <v>2637</v>
      </c>
      <c r="C1368" s="1" t="s">
        <v>2637</v>
      </c>
      <c r="D1368" s="1" t="s">
        <v>2637</v>
      </c>
      <c r="E1368" s="1" t="s">
        <v>2637</v>
      </c>
      <c r="F1368" s="1" t="s">
        <v>2637</v>
      </c>
      <c r="G1368" s="1" t="s">
        <v>2637</v>
      </c>
      <c r="H1368" s="1" t="s">
        <v>2637</v>
      </c>
    </row>
    <row r="1369" spans="1:8" x14ac:dyDescent="0.25">
      <c r="A1369" s="1" t="s">
        <v>578</v>
      </c>
      <c r="B1369" s="1" t="s">
        <v>579</v>
      </c>
      <c r="C1369" s="1" t="s">
        <v>580</v>
      </c>
      <c r="D1369" s="1" t="s">
        <v>581</v>
      </c>
      <c r="E1369" s="1" t="s">
        <v>503</v>
      </c>
      <c r="F1369" s="1" t="str">
        <f>"05602    "</f>
        <v xml:space="preserve">05602    </v>
      </c>
      <c r="G1369" s="1" t="str">
        <f>"8022472583"</f>
        <v>8022472583</v>
      </c>
      <c r="H1369" s="1" t="s">
        <v>2637</v>
      </c>
    </row>
    <row r="1370" spans="1:8" x14ac:dyDescent="0.25">
      <c r="A1370" s="1" t="s">
        <v>1587</v>
      </c>
      <c r="B1370" s="1" t="s">
        <v>1588</v>
      </c>
      <c r="C1370" s="1" t="s">
        <v>1589</v>
      </c>
      <c r="D1370" s="1" t="s">
        <v>3249</v>
      </c>
      <c r="E1370" s="1" t="s">
        <v>2885</v>
      </c>
      <c r="F1370" s="1" t="str">
        <f>"74102    "</f>
        <v xml:space="preserve">74102    </v>
      </c>
      <c r="G1370" s="1" t="str">
        <f>"9185603535"</f>
        <v>9185603535</v>
      </c>
      <c r="H1370" s="1" t="s">
        <v>2637</v>
      </c>
    </row>
    <row r="1371" spans="1:8" x14ac:dyDescent="0.25">
      <c r="A1371" s="1" t="s">
        <v>159</v>
      </c>
      <c r="B1371" s="1" t="s">
        <v>160</v>
      </c>
      <c r="C1371" s="1" t="str">
        <f>"1831 CHESTNUT STREET                              "</f>
        <v xml:space="preserve">1831 CHESTNUT STREET                              </v>
      </c>
      <c r="D1371" s="1" t="s">
        <v>917</v>
      </c>
      <c r="E1371" s="1" t="s">
        <v>2670</v>
      </c>
      <c r="F1371" s="1" t="str">
        <f>"63103    "</f>
        <v xml:space="preserve">63103    </v>
      </c>
      <c r="G1371" s="1" t="str">
        <f>"3149234444"</f>
        <v>3149234444</v>
      </c>
      <c r="H1371" s="1" t="s">
        <v>161</v>
      </c>
    </row>
    <row r="1372" spans="1:8" x14ac:dyDescent="0.25">
      <c r="A1372" s="1" t="s">
        <v>2499</v>
      </c>
      <c r="B1372" s="1" t="s">
        <v>2500</v>
      </c>
      <c r="C1372" s="1" t="s">
        <v>2501</v>
      </c>
      <c r="D1372" s="1" t="s">
        <v>2502</v>
      </c>
      <c r="E1372" s="1" t="s">
        <v>2989</v>
      </c>
      <c r="F1372" s="1" t="str">
        <f>"83707    "</f>
        <v xml:space="preserve">83707    </v>
      </c>
      <c r="G1372" s="1" t="str">
        <f>"2083447411"</f>
        <v>2083447411</v>
      </c>
      <c r="H1372" s="1" t="s">
        <v>2637</v>
      </c>
    </row>
    <row r="1373" spans="1:8" x14ac:dyDescent="0.25">
      <c r="A1373" s="1" t="s">
        <v>1441</v>
      </c>
      <c r="B1373" s="1" t="s">
        <v>1442</v>
      </c>
      <c r="C1373" s="1" t="s">
        <v>1443</v>
      </c>
      <c r="D1373" s="1" t="s">
        <v>2808</v>
      </c>
      <c r="E1373" s="1" t="s">
        <v>2809</v>
      </c>
      <c r="F1373" s="1" t="str">
        <f>"850023466"</f>
        <v>850023466</v>
      </c>
      <c r="G1373" s="1" t="str">
        <f>"6028644100"</f>
        <v>6028644100</v>
      </c>
      <c r="H1373" s="1" t="s">
        <v>2637</v>
      </c>
    </row>
    <row r="1374" spans="1:8" x14ac:dyDescent="0.25">
      <c r="A1374" s="1" t="s">
        <v>2288</v>
      </c>
      <c r="B1374" s="1" t="s">
        <v>2289</v>
      </c>
      <c r="C1374" s="1" t="s">
        <v>2290</v>
      </c>
      <c r="D1374" s="1" t="s">
        <v>2291</v>
      </c>
      <c r="E1374" s="1" t="s">
        <v>2292</v>
      </c>
      <c r="F1374" s="1" t="str">
        <f>"96801    "</f>
        <v xml:space="preserve">96801    </v>
      </c>
      <c r="G1374" s="1" t="str">
        <f>"8007764672"</f>
        <v>8007764672</v>
      </c>
      <c r="H1374" s="1" t="s">
        <v>2637</v>
      </c>
    </row>
    <row r="1375" spans="1:8" x14ac:dyDescent="0.25">
      <c r="A1375" s="1" t="s">
        <v>2610</v>
      </c>
      <c r="B1375" s="1" t="s">
        <v>2611</v>
      </c>
      <c r="C1375" s="1" t="s">
        <v>2612</v>
      </c>
      <c r="D1375" s="1" t="s">
        <v>2613</v>
      </c>
      <c r="E1375" s="1" t="s">
        <v>3138</v>
      </c>
      <c r="F1375" s="1" t="str">
        <f>"59403    "</f>
        <v xml:space="preserve">59403    </v>
      </c>
      <c r="G1375" s="1" t="str">
        <f>"4067914000"</f>
        <v>4067914000</v>
      </c>
      <c r="H1375" s="1" t="s">
        <v>2637</v>
      </c>
    </row>
    <row r="1376" spans="1:8" x14ac:dyDescent="0.25">
      <c r="A1376" s="1" t="s">
        <v>2895</v>
      </c>
      <c r="B1376" s="1" t="s">
        <v>2896</v>
      </c>
      <c r="C1376" s="1" t="s">
        <v>2897</v>
      </c>
      <c r="D1376" s="1" t="s">
        <v>2805</v>
      </c>
      <c r="E1376" s="1" t="s">
        <v>2636</v>
      </c>
      <c r="F1376" s="1" t="str">
        <f>"78755    "</f>
        <v xml:space="preserve">78755    </v>
      </c>
      <c r="G1376" s="1" t="str">
        <f>"8008808824"</f>
        <v>8008808824</v>
      </c>
      <c r="H1376" s="1" t="s">
        <v>2637</v>
      </c>
    </row>
    <row r="1377" spans="1:8" x14ac:dyDescent="0.25">
      <c r="A1377" s="1" t="s">
        <v>1915</v>
      </c>
      <c r="B1377" s="1" t="s">
        <v>1916</v>
      </c>
      <c r="C1377" s="1" t="s">
        <v>1917</v>
      </c>
      <c r="D1377" s="1" t="s">
        <v>1918</v>
      </c>
      <c r="E1377" s="1" t="s">
        <v>2832</v>
      </c>
      <c r="F1377" s="1" t="str">
        <f>"32085    "</f>
        <v xml:space="preserve">32085    </v>
      </c>
      <c r="G1377" s="1" t="str">
        <f>"8885022789"</f>
        <v>8885022789</v>
      </c>
      <c r="H1377" s="1" t="s">
        <v>2637</v>
      </c>
    </row>
    <row r="1378" spans="1:8" x14ac:dyDescent="0.25">
      <c r="A1378" s="1" t="s">
        <v>2541</v>
      </c>
      <c r="B1378" s="1" t="s">
        <v>2542</v>
      </c>
      <c r="C1378" s="1" t="s">
        <v>2543</v>
      </c>
      <c r="D1378" s="1" t="s">
        <v>2544</v>
      </c>
      <c r="E1378" s="1" t="s">
        <v>2127</v>
      </c>
      <c r="F1378" s="1" t="str">
        <f>"97309    "</f>
        <v xml:space="preserve">97309    </v>
      </c>
      <c r="G1378" s="1" t="str">
        <f>"8884371508"</f>
        <v>8884371508</v>
      </c>
      <c r="H1378" s="1" t="s">
        <v>2545</v>
      </c>
    </row>
    <row r="1379" spans="1:8" x14ac:dyDescent="0.25">
      <c r="A1379" s="1" t="s">
        <v>2624</v>
      </c>
      <c r="B1379" s="1" t="s">
        <v>2625</v>
      </c>
      <c r="C1379" s="1" t="s">
        <v>2626</v>
      </c>
      <c r="D1379" s="1" t="s">
        <v>2627</v>
      </c>
      <c r="E1379" s="1" t="s">
        <v>2773</v>
      </c>
      <c r="F1379" s="1" t="str">
        <f>"12212    "</f>
        <v xml:space="preserve">12212    </v>
      </c>
      <c r="G1379" s="1" t="str">
        <f>"5184385500"</f>
        <v>5184385500</v>
      </c>
      <c r="H1379" s="1" t="s">
        <v>2637</v>
      </c>
    </row>
    <row r="1380" spans="1:8" x14ac:dyDescent="0.25">
      <c r="A1380" s="1" t="s">
        <v>248</v>
      </c>
      <c r="B1380" s="1" t="s">
        <v>249</v>
      </c>
      <c r="C1380" s="1" t="s">
        <v>250</v>
      </c>
      <c r="D1380" s="1" t="s">
        <v>251</v>
      </c>
      <c r="E1380" s="1" t="s">
        <v>2944</v>
      </c>
      <c r="F1380" s="1" t="str">
        <f>"71903    "</f>
        <v xml:space="preserve">71903    </v>
      </c>
      <c r="G1380" s="1" t="str">
        <f>"8007887871"</f>
        <v>8007887871</v>
      </c>
      <c r="H1380" s="1" t="s">
        <v>252</v>
      </c>
    </row>
  </sheetData>
  <phoneticPr fontId="0" type="noConversion"/>
  <printOptions horizontalCentered="1" verticalCentered="1" gridLines="1"/>
  <pageMargins left="0" right="0" top="1" bottom="0.5" header="0" footer="0"/>
  <pageSetup orientation="landscape" r:id="rId1"/>
  <headerFooter alignWithMargins="0">
    <oddHeader>&amp;CSC DEPARTMENT OF HEALTH AND HUMAN SERVICES
Office of Reporting, Research, and Special Projects
July 18, 2013
minick for defede</oddHeader>
    <oddFooter>&amp;L
Data is current through 6/2013&amp;C&amp;P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alpha</vt:lpstr>
      <vt:lpstr>numeric</vt:lpstr>
      <vt:lpstr>alpha!Print_Titles</vt:lpstr>
      <vt:lpstr>numeric!Print_Titles</vt:lpstr>
    </vt:vector>
  </TitlesOfParts>
  <Company>Truven Health Analytics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dmuscat</dc:creator>
  <cp:lastModifiedBy>Rebecca Clark</cp:lastModifiedBy>
  <cp:lastPrinted>2013-07-18T14:25:45Z</cp:lastPrinted>
  <dcterms:created xsi:type="dcterms:W3CDTF">2013-07-18T13:59:18Z</dcterms:created>
  <dcterms:modified xsi:type="dcterms:W3CDTF">2013-07-18T15:26:47Z</dcterms:modified>
</cp:coreProperties>
</file>